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19" documentId="13_ncr:1_{A9E48668-54AD-466A-92E0-4604251E5CAC}" xr6:coauthVersionLast="47" xr6:coauthVersionMax="47" xr10:uidLastSave="{634AB67D-8283-4823-8C51-1EA6F7F23CE7}"/>
  <bookViews>
    <workbookView xWindow="-120" yWindow="-120" windowWidth="19440" windowHeight="15000" tabRatio="743" xr2:uid="{00000000-000D-0000-FFFF-FFFF00000000}"/>
  </bookViews>
  <sheets>
    <sheet name="Planta Pinch" sheetId="10" r:id="rId1"/>
    <sheet name="Tuberías " sheetId="13" r:id="rId2"/>
  </sheets>
  <definedNames>
    <definedName name="_8.00">#REF!</definedName>
    <definedName name="_Hlk58404871" localSheetId="0">'Planta Pinch'!$B$25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10" l="1"/>
  <c r="G30" i="13"/>
  <c r="G29" i="13"/>
  <c r="G18" i="13"/>
  <c r="G7" i="13"/>
  <c r="H113" i="10"/>
  <c r="H111" i="10"/>
  <c r="H103" i="10"/>
  <c r="H101" i="10"/>
  <c r="H100" i="10"/>
  <c r="H90" i="10"/>
  <c r="H88" i="10"/>
  <c r="H61" i="10"/>
  <c r="H38" i="10"/>
  <c r="H37" i="10"/>
  <c r="G162" i="10"/>
  <c r="G155" i="10"/>
  <c r="G154" i="10"/>
  <c r="G156" i="10" s="1"/>
  <c r="G149" i="10"/>
  <c r="G147" i="10"/>
  <c r="G150" i="10" s="1"/>
  <c r="G130" i="10"/>
  <c r="G131" i="10" s="1"/>
  <c r="G118" i="10"/>
  <c r="G102" i="10"/>
  <c r="H102" i="10" s="1"/>
  <c r="G98" i="10"/>
  <c r="G96" i="10"/>
  <c r="G83" i="10"/>
  <c r="G84" i="10" s="1"/>
  <c r="G79" i="10"/>
  <c r="G72" i="10"/>
  <c r="G66" i="10"/>
  <c r="G65" i="10"/>
  <c r="G67" i="10" s="1"/>
  <c r="G46" i="10"/>
  <c r="G39" i="10"/>
  <c r="G40" i="10" s="1"/>
  <c r="G38" i="10"/>
  <c r="G32" i="10"/>
  <c r="G31" i="10"/>
  <c r="G34" i="10" s="1"/>
  <c r="G23" i="10"/>
  <c r="G22" i="10"/>
  <c r="G16" i="10"/>
  <c r="G20" i="10" s="1"/>
  <c r="G26" i="10" s="1"/>
  <c r="E118" i="10"/>
  <c r="E38" i="10"/>
  <c r="E130" i="10"/>
  <c r="E131" i="10" s="1"/>
  <c r="E102" i="10"/>
  <c r="E96" i="10"/>
  <c r="E46" i="10"/>
  <c r="H55" i="10"/>
  <c r="H95" i="10"/>
  <c r="H82" i="10"/>
  <c r="H81" i="10"/>
  <c r="H80" i="10"/>
  <c r="H69" i="10"/>
  <c r="E83" i="10"/>
  <c r="E79" i="10"/>
  <c r="E98" i="10"/>
  <c r="H97" i="10"/>
  <c r="H118" i="10" l="1"/>
  <c r="H131" i="10"/>
  <c r="H130" i="10"/>
  <c r="G62" i="10"/>
  <c r="G56" i="10"/>
  <c r="G108" i="10"/>
  <c r="G104" i="10"/>
  <c r="G76" i="10"/>
  <c r="G59" i="10"/>
  <c r="G106" i="10"/>
  <c r="G73" i="10"/>
  <c r="G99" i="10"/>
  <c r="G18" i="10"/>
  <c r="G27" i="10" s="1"/>
  <c r="G33" i="10"/>
  <c r="H46" i="10"/>
  <c r="H83" i="10"/>
  <c r="H79" i="10"/>
  <c r="H96" i="10"/>
  <c r="E84" i="10"/>
  <c r="H84" i="10" s="1"/>
  <c r="H98" i="10"/>
  <c r="G35" i="10" l="1"/>
  <c r="G107" i="10"/>
  <c r="G77" i="10"/>
  <c r="G6" i="13" s="1"/>
  <c r="G157" i="10"/>
  <c r="G135" i="10"/>
  <c r="G137" i="10" s="1"/>
  <c r="G41" i="10"/>
  <c r="G109" i="10"/>
  <c r="G105" i="10"/>
  <c r="E66" i="10"/>
  <c r="H66" i="10" s="1"/>
  <c r="E65" i="10"/>
  <c r="H99" i="13"/>
  <c r="H97" i="13"/>
  <c r="H94" i="13"/>
  <c r="H92" i="13"/>
  <c r="H91" i="13"/>
  <c r="H85" i="13"/>
  <c r="H82" i="13"/>
  <c r="H74" i="13"/>
  <c r="H71" i="13"/>
  <c r="H68" i="13"/>
  <c r="H33" i="13"/>
  <c r="H31" i="13"/>
  <c r="H28" i="13"/>
  <c r="H26" i="13"/>
  <c r="H19" i="13"/>
  <c r="H16" i="13"/>
  <c r="H8" i="13"/>
  <c r="H5" i="13"/>
  <c r="G95" i="13"/>
  <c r="G84" i="13"/>
  <c r="G73" i="13"/>
  <c r="H161" i="10"/>
  <c r="H160" i="10"/>
  <c r="H153" i="10"/>
  <c r="H152" i="10"/>
  <c r="H151" i="10"/>
  <c r="H148" i="10"/>
  <c r="H146" i="10"/>
  <c r="H145" i="10"/>
  <c r="H140" i="10"/>
  <c r="H138" i="10"/>
  <c r="H136" i="10"/>
  <c r="H134" i="10"/>
  <c r="H78" i="10"/>
  <c r="H75" i="10"/>
  <c r="H74" i="10"/>
  <c r="H71" i="10"/>
  <c r="H68" i="10"/>
  <c r="H58" i="10"/>
  <c r="H53" i="10"/>
  <c r="H52" i="10"/>
  <c r="H51" i="10"/>
  <c r="H48" i="10"/>
  <c r="H43" i="10"/>
  <c r="H36" i="10"/>
  <c r="H30" i="10"/>
  <c r="H29" i="10"/>
  <c r="H28" i="10"/>
  <c r="H25" i="10"/>
  <c r="H21" i="10"/>
  <c r="H19" i="10"/>
  <c r="H17" i="10"/>
  <c r="H14" i="10"/>
  <c r="H15" i="10"/>
  <c r="G119" i="10" l="1"/>
  <c r="G85" i="10"/>
  <c r="G86" i="10" s="1"/>
  <c r="G122" i="10"/>
  <c r="G120" i="10"/>
  <c r="G72" i="13"/>
  <c r="G9" i="13"/>
  <c r="G11" i="13" s="1"/>
  <c r="G10" i="13"/>
  <c r="G17" i="13"/>
  <c r="G125" i="10"/>
  <c r="G44" i="10"/>
  <c r="G139" i="10"/>
  <c r="G141" i="10" s="1"/>
  <c r="G42" i="10"/>
  <c r="G158" i="10"/>
  <c r="G159" i="10" s="1"/>
  <c r="G163" i="10"/>
  <c r="G96" i="13"/>
  <c r="G121" i="10" l="1"/>
  <c r="G14" i="13"/>
  <c r="G13" i="13"/>
  <c r="G4" i="13" s="1"/>
  <c r="G126" i="10"/>
  <c r="G21" i="13"/>
  <c r="G27" i="13"/>
  <c r="G32" i="13" s="1"/>
  <c r="G20" i="13"/>
  <c r="G22" i="13" s="1"/>
  <c r="G123" i="10"/>
  <c r="G45" i="10"/>
  <c r="G49" i="10"/>
  <c r="G63" i="10" s="1"/>
  <c r="G47" i="10"/>
  <c r="G60" i="10" s="1"/>
  <c r="G57" i="10"/>
  <c r="G164" i="10"/>
  <c r="E16" i="10"/>
  <c r="H16" i="10" s="1"/>
  <c r="G124" i="10" l="1"/>
  <c r="G24" i="13"/>
  <c r="G15" i="13" s="1"/>
  <c r="G127" i="10"/>
  <c r="G128" i="10" s="1"/>
  <c r="E39" i="10"/>
  <c r="E154" i="10"/>
  <c r="H154" i="10" s="1"/>
  <c r="E155" i="10"/>
  <c r="H155" i="10" s="1"/>
  <c r="E162" i="10"/>
  <c r="H162" i="10" s="1"/>
  <c r="H39" i="10" l="1"/>
  <c r="E40" i="10"/>
  <c r="E156" i="10"/>
  <c r="H156" i="10" s="1"/>
  <c r="E104" i="10" l="1"/>
  <c r="H104" i="10" s="1"/>
  <c r="E106" i="10"/>
  <c r="H106" i="10" s="1"/>
  <c r="E62" i="10"/>
  <c r="H62" i="10" s="1"/>
  <c r="E59" i="10"/>
  <c r="H59" i="10" s="1"/>
  <c r="E56" i="10"/>
  <c r="E108" i="10"/>
  <c r="E76" i="10"/>
  <c r="H76" i="10" s="1"/>
  <c r="H40" i="10"/>
  <c r="E73" i="13"/>
  <c r="H73" i="13" s="1"/>
  <c r="E7" i="13"/>
  <c r="H7" i="13" s="1"/>
  <c r="B104" i="13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E95" i="13"/>
  <c r="H95" i="13" s="1"/>
  <c r="E84" i="13"/>
  <c r="H84" i="13" s="1"/>
  <c r="E30" i="13"/>
  <c r="E18" i="13"/>
  <c r="H18" i="13" s="1"/>
  <c r="B37" i="13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E29" i="13"/>
  <c r="H29" i="13" s="1"/>
  <c r="H56" i="10" l="1"/>
  <c r="E96" i="13"/>
  <c r="H96" i="13" s="1"/>
  <c r="H30" i="13"/>
  <c r="H108" i="10"/>
  <c r="E149" i="10"/>
  <c r="H149" i="10" s="1"/>
  <c r="E147" i="10"/>
  <c r="E150" i="10" l="1"/>
  <c r="H147" i="10"/>
  <c r="H54" i="10" l="1"/>
  <c r="D159" i="10"/>
  <c r="H150" i="10"/>
  <c r="E72" i="10"/>
  <c r="H72" i="10" s="1"/>
  <c r="E67" i="10" l="1"/>
  <c r="H65" i="10"/>
  <c r="H67" i="10" l="1"/>
  <c r="E99" i="10"/>
  <c r="E73" i="10"/>
  <c r="E77" i="10" s="1"/>
  <c r="E119" i="10" s="1"/>
  <c r="E120" i="10" l="1"/>
  <c r="H119" i="10"/>
  <c r="E6" i="13"/>
  <c r="E85" i="10"/>
  <c r="H85" i="10" s="1"/>
  <c r="E105" i="10"/>
  <c r="E107" i="10"/>
  <c r="H77" i="10"/>
  <c r="H73" i="10"/>
  <c r="E125" i="10" l="1"/>
  <c r="H107" i="10"/>
  <c r="E122" i="10"/>
  <c r="H105" i="10"/>
  <c r="E121" i="10"/>
  <c r="H121" i="10" s="1"/>
  <c r="H120" i="10"/>
  <c r="E86" i="10"/>
  <c r="H86" i="10" s="1"/>
  <c r="E17" i="13"/>
  <c r="E109" i="10"/>
  <c r="E72" i="13" s="1"/>
  <c r="H99" i="10"/>
  <c r="E123" i="10" l="1"/>
  <c r="H122" i="10"/>
  <c r="E126" i="10"/>
  <c r="H125" i="10"/>
  <c r="H109" i="10"/>
  <c r="E10" i="13"/>
  <c r="E9" i="13"/>
  <c r="E11" i="13" s="1"/>
  <c r="E21" i="13"/>
  <c r="E27" i="13"/>
  <c r="E20" i="13"/>
  <c r="E127" i="10" l="1"/>
  <c r="H127" i="10" s="1"/>
  <c r="H126" i="10"/>
  <c r="E124" i="10"/>
  <c r="H123" i="10"/>
  <c r="E14" i="13"/>
  <c r="E13" i="13"/>
  <c r="E24" i="13"/>
  <c r="E22" i="13"/>
  <c r="E32" i="13"/>
  <c r="C36" i="13"/>
  <c r="H124" i="10" l="1"/>
  <c r="E128" i="10"/>
  <c r="H128" i="10" s="1"/>
  <c r="G36" i="13"/>
  <c r="E36" i="13"/>
  <c r="E76" i="13"/>
  <c r="E83" i="13"/>
  <c r="E75" i="13"/>
  <c r="E77" i="13" s="1"/>
  <c r="E80" i="13" s="1"/>
  <c r="E4" i="13"/>
  <c r="E15" i="13"/>
  <c r="C37" i="13"/>
  <c r="E79" i="13" l="1"/>
  <c r="E70" i="13" s="1"/>
  <c r="E110" i="10" s="1"/>
  <c r="C38" i="13"/>
  <c r="G37" i="13"/>
  <c r="E37" i="13"/>
  <c r="E93" i="13"/>
  <c r="E87" i="13"/>
  <c r="E86" i="13"/>
  <c r="E88" i="13" s="1"/>
  <c r="H36" i="13"/>
  <c r="H37" i="13" l="1"/>
  <c r="E98" i="13"/>
  <c r="C103" i="13"/>
  <c r="C39" i="13"/>
  <c r="G38" i="13"/>
  <c r="E38" i="13"/>
  <c r="E90" i="13"/>
  <c r="E81" i="13" s="1"/>
  <c r="H38" i="13" l="1"/>
  <c r="C40" i="13"/>
  <c r="G39" i="13"/>
  <c r="E39" i="13"/>
  <c r="E103" i="13"/>
  <c r="G103" i="13"/>
  <c r="C104" i="13"/>
  <c r="E32" i="10"/>
  <c r="H32" i="10" s="1"/>
  <c r="E31" i="10"/>
  <c r="H31" i="10" s="1"/>
  <c r="H39" i="13" l="1"/>
  <c r="H103" i="13"/>
  <c r="C105" i="13"/>
  <c r="E104" i="13"/>
  <c r="G104" i="13"/>
  <c r="C41" i="13"/>
  <c r="G40" i="13"/>
  <c r="E40" i="13"/>
  <c r="E34" i="10"/>
  <c r="H34" i="10" s="1"/>
  <c r="E33" i="10"/>
  <c r="H33" i="10" s="1"/>
  <c r="H40" i="13" l="1"/>
  <c r="H104" i="13"/>
  <c r="C42" i="13"/>
  <c r="G41" i="13"/>
  <c r="E41" i="13"/>
  <c r="C106" i="13"/>
  <c r="G105" i="13"/>
  <c r="E105" i="13"/>
  <c r="E20" i="10"/>
  <c r="H20" i="10" l="1"/>
  <c r="H41" i="13"/>
  <c r="C107" i="13"/>
  <c r="E106" i="13"/>
  <c r="G106" i="13"/>
  <c r="H105" i="13"/>
  <c r="C43" i="13"/>
  <c r="G42" i="13"/>
  <c r="E42" i="13"/>
  <c r="E26" i="10"/>
  <c r="H26" i="10" s="1"/>
  <c r="E23" i="10"/>
  <c r="E22" i="10"/>
  <c r="H22" i="10" s="1"/>
  <c r="H42" i="13" l="1"/>
  <c r="C44" i="13"/>
  <c r="G43" i="13"/>
  <c r="E43" i="13"/>
  <c r="C108" i="13"/>
  <c r="E107" i="13"/>
  <c r="G107" i="13"/>
  <c r="D22" i="10"/>
  <c r="H23" i="10"/>
  <c r="H106" i="13"/>
  <c r="H107" i="13" l="1"/>
  <c r="H43" i="13"/>
  <c r="C45" i="13"/>
  <c r="G44" i="13"/>
  <c r="E44" i="13"/>
  <c r="C109" i="13"/>
  <c r="E108" i="13"/>
  <c r="G108" i="13"/>
  <c r="H108" i="13" l="1"/>
  <c r="H44" i="13"/>
  <c r="C46" i="13"/>
  <c r="G45" i="13"/>
  <c r="E45" i="13"/>
  <c r="C110" i="13"/>
  <c r="G109" i="13"/>
  <c r="E109" i="13"/>
  <c r="H45" i="13" l="1"/>
  <c r="H109" i="13"/>
  <c r="C47" i="13"/>
  <c r="G46" i="13"/>
  <c r="E46" i="13"/>
  <c r="C111" i="13"/>
  <c r="E110" i="13"/>
  <c r="G110" i="13"/>
  <c r="H46" i="13" l="1"/>
  <c r="C48" i="13"/>
  <c r="G47" i="13"/>
  <c r="E47" i="13"/>
  <c r="C112" i="13"/>
  <c r="E111" i="13"/>
  <c r="G111" i="13"/>
  <c r="H110" i="13"/>
  <c r="E18" i="10"/>
  <c r="H18" i="10" s="1"/>
  <c r="H111" i="13" l="1"/>
  <c r="H47" i="13"/>
  <c r="C49" i="13"/>
  <c r="G48" i="13"/>
  <c r="E48" i="13"/>
  <c r="C113" i="13"/>
  <c r="E112" i="13"/>
  <c r="G112" i="13"/>
  <c r="E27" i="10"/>
  <c r="H112" i="13" l="1"/>
  <c r="H48" i="13"/>
  <c r="E35" i="10"/>
  <c r="H35" i="10" s="1"/>
  <c r="H27" i="10"/>
  <c r="C50" i="13"/>
  <c r="G49" i="13"/>
  <c r="E49" i="13"/>
  <c r="C114" i="13"/>
  <c r="G113" i="13"/>
  <c r="E113" i="13"/>
  <c r="H49" i="13" l="1"/>
  <c r="E41" i="10"/>
  <c r="H113" i="13"/>
  <c r="C51" i="13"/>
  <c r="G50" i="13"/>
  <c r="E50" i="13"/>
  <c r="C115" i="13"/>
  <c r="E114" i="13"/>
  <c r="G114" i="13"/>
  <c r="E157" i="10"/>
  <c r="E135" i="10"/>
  <c r="H41" i="10" l="1"/>
  <c r="E44" i="10"/>
  <c r="H114" i="13"/>
  <c r="H50" i="13"/>
  <c r="E42" i="10"/>
  <c r="H42" i="10" s="1"/>
  <c r="C116" i="13"/>
  <c r="E115" i="13"/>
  <c r="G115" i="13"/>
  <c r="E137" i="10"/>
  <c r="H137" i="10" s="1"/>
  <c r="H135" i="10"/>
  <c r="E158" i="10"/>
  <c r="H157" i="10"/>
  <c r="E139" i="10"/>
  <c r="C52" i="13"/>
  <c r="G51" i="13"/>
  <c r="E51" i="13"/>
  <c r="E163" i="10"/>
  <c r="H163" i="10" s="1"/>
  <c r="E45" i="10" l="1"/>
  <c r="E47" i="10"/>
  <c r="E60" i="10" s="1"/>
  <c r="H60" i="10" s="1"/>
  <c r="E57" i="10"/>
  <c r="E49" i="10"/>
  <c r="H115" i="13"/>
  <c r="H51" i="13"/>
  <c r="C53" i="13"/>
  <c r="G52" i="13"/>
  <c r="E52" i="13"/>
  <c r="E159" i="10"/>
  <c r="H159" i="10" s="1"/>
  <c r="H158" i="10"/>
  <c r="H44" i="10"/>
  <c r="C117" i="13"/>
  <c r="E116" i="13"/>
  <c r="G116" i="13"/>
  <c r="E141" i="10"/>
  <c r="H141" i="10" s="1"/>
  <c r="H139" i="10"/>
  <c r="H47" i="10" l="1"/>
  <c r="E63" i="10"/>
  <c r="H49" i="10"/>
  <c r="E164" i="10"/>
  <c r="H164" i="10" s="1"/>
  <c r="H116" i="13"/>
  <c r="H52" i="13"/>
  <c r="H45" i="10"/>
  <c r="C54" i="13"/>
  <c r="G53" i="13"/>
  <c r="E53" i="13"/>
  <c r="C118" i="13"/>
  <c r="G117" i="13"/>
  <c r="E117" i="13"/>
  <c r="H117" i="13" l="1"/>
  <c r="G54" i="13"/>
  <c r="E54" i="13"/>
  <c r="C55" i="13"/>
  <c r="C119" i="13"/>
  <c r="E118" i="13"/>
  <c r="G118" i="13"/>
  <c r="H63" i="10"/>
  <c r="D63" i="10"/>
  <c r="D57" i="10"/>
  <c r="H57" i="10"/>
  <c r="D60" i="10"/>
  <c r="H53" i="13"/>
  <c r="E112" i="10"/>
  <c r="E114" i="10" l="1"/>
  <c r="C120" i="13"/>
  <c r="E119" i="13"/>
  <c r="G119" i="13"/>
  <c r="H54" i="13"/>
  <c r="H118" i="13"/>
  <c r="G55" i="13"/>
  <c r="E55" i="13"/>
  <c r="C56" i="13"/>
  <c r="E116" i="10"/>
  <c r="H55" i="13" l="1"/>
  <c r="H119" i="13"/>
  <c r="G56" i="13"/>
  <c r="E56" i="13"/>
  <c r="C57" i="13"/>
  <c r="C121" i="13"/>
  <c r="E120" i="13"/>
  <c r="G120" i="13"/>
  <c r="E115" i="10"/>
  <c r="H56" i="13" l="1"/>
  <c r="H120" i="13"/>
  <c r="C58" i="13"/>
  <c r="G57" i="13"/>
  <c r="E57" i="13"/>
  <c r="G121" i="13"/>
  <c r="E121" i="13"/>
  <c r="C122" i="13"/>
  <c r="H121" i="13" l="1"/>
  <c r="E122" i="13"/>
  <c r="G122" i="13"/>
  <c r="C123" i="13"/>
  <c r="H57" i="13"/>
  <c r="G58" i="13"/>
  <c r="E58" i="13"/>
  <c r="C59" i="13"/>
  <c r="H122" i="13" l="1"/>
  <c r="H58" i="13"/>
  <c r="E123" i="13"/>
  <c r="G123" i="13"/>
  <c r="C124" i="13"/>
  <c r="G59" i="13"/>
  <c r="E59" i="13"/>
  <c r="C60" i="13"/>
  <c r="H123" i="13" l="1"/>
  <c r="G60" i="13"/>
  <c r="E60" i="13"/>
  <c r="C61" i="13"/>
  <c r="H59" i="13"/>
  <c r="E124" i="13"/>
  <c r="G124" i="13"/>
  <c r="C125" i="13"/>
  <c r="G61" i="13" l="1"/>
  <c r="E61" i="13"/>
  <c r="C62" i="13"/>
  <c r="G125" i="13"/>
  <c r="E125" i="13"/>
  <c r="C126" i="13"/>
  <c r="H124" i="13"/>
  <c r="H60" i="13"/>
  <c r="H125" i="13" l="1"/>
  <c r="G62" i="13"/>
  <c r="E62" i="13"/>
  <c r="C63" i="13"/>
  <c r="E126" i="13"/>
  <c r="G126" i="13"/>
  <c r="C127" i="13"/>
  <c r="H61" i="13"/>
  <c r="E127" i="13" l="1"/>
  <c r="G127" i="13"/>
  <c r="C128" i="13"/>
  <c r="G63" i="13"/>
  <c r="E63" i="13"/>
  <c r="C64" i="13"/>
  <c r="H126" i="13"/>
  <c r="H62" i="13"/>
  <c r="H127" i="13" l="1"/>
  <c r="H63" i="13"/>
  <c r="G64" i="13"/>
  <c r="E64" i="13"/>
  <c r="C65" i="13"/>
  <c r="E128" i="13"/>
  <c r="G128" i="13"/>
  <c r="C129" i="13"/>
  <c r="G65" i="13" l="1"/>
  <c r="E65" i="13"/>
  <c r="C66" i="13"/>
  <c r="G129" i="13"/>
  <c r="E129" i="13"/>
  <c r="C130" i="13"/>
  <c r="H128" i="13"/>
  <c r="H64" i="13"/>
  <c r="H129" i="13" l="1"/>
  <c r="E130" i="13"/>
  <c r="G130" i="13"/>
  <c r="C131" i="13"/>
  <c r="G66" i="13"/>
  <c r="E66" i="13"/>
  <c r="C67" i="13"/>
  <c r="H65" i="13"/>
  <c r="H66" i="13" l="1"/>
  <c r="H130" i="13"/>
  <c r="G67" i="13"/>
  <c r="G25" i="13" s="1"/>
  <c r="G3" i="13" s="1"/>
  <c r="G87" i="10" s="1"/>
  <c r="E67" i="13"/>
  <c r="E25" i="13" s="1"/>
  <c r="E3" i="13" s="1"/>
  <c r="E131" i="13"/>
  <c r="G131" i="13"/>
  <c r="C132" i="13"/>
  <c r="E87" i="10" l="1"/>
  <c r="E89" i="10" s="1"/>
  <c r="E91" i="10" s="1"/>
  <c r="E92" i="10" s="1"/>
  <c r="H131" i="13"/>
  <c r="E132" i="13"/>
  <c r="G132" i="13"/>
  <c r="C133" i="13"/>
  <c r="H67" i="13"/>
  <c r="G89" i="10" l="1"/>
  <c r="H87" i="10"/>
  <c r="E93" i="10"/>
  <c r="E133" i="10" s="1"/>
  <c r="E142" i="10" s="1"/>
  <c r="E143" i="10" s="1"/>
  <c r="H132" i="13"/>
  <c r="H25" i="13"/>
  <c r="G133" i="13"/>
  <c r="E133" i="13"/>
  <c r="E100" i="13" s="1"/>
  <c r="E69" i="13" s="1"/>
  <c r="H89" i="10" l="1"/>
  <c r="G91" i="10"/>
  <c r="H133" i="13"/>
  <c r="G100" i="13"/>
  <c r="H91" i="10" l="1"/>
  <c r="G93" i="10"/>
  <c r="G92" i="10"/>
  <c r="H92" i="10" s="1"/>
  <c r="H100" i="13"/>
  <c r="H93" i="10" l="1"/>
  <c r="H13" i="13"/>
  <c r="H10" i="13"/>
  <c r="H6" i="13"/>
  <c r="H14" i="13" l="1"/>
  <c r="H11" i="13"/>
  <c r="H9" i="13"/>
  <c r="H17" i="13"/>
  <c r="H4" i="13" l="1"/>
  <c r="H22" i="13"/>
  <c r="H20" i="13"/>
  <c r="H21" i="13"/>
  <c r="H24" i="13"/>
  <c r="H32" i="13"/>
  <c r="H27" i="13"/>
  <c r="H15" i="13" l="1"/>
  <c r="H3" i="13" l="1"/>
  <c r="G75" i="13" l="1"/>
  <c r="G76" i="13" l="1"/>
  <c r="H76" i="13" s="1"/>
  <c r="G83" i="13"/>
  <c r="G86" i="13" s="1"/>
  <c r="G88" i="13" s="1"/>
  <c r="H88" i="13" s="1"/>
  <c r="G77" i="13"/>
  <c r="H75" i="13"/>
  <c r="H72" i="13"/>
  <c r="H83" i="13" l="1"/>
  <c r="G87" i="13"/>
  <c r="G90" i="13" s="1"/>
  <c r="H90" i="13" s="1"/>
  <c r="G93" i="13"/>
  <c r="G98" i="13" s="1"/>
  <c r="H98" i="13" s="1"/>
  <c r="H86" i="13"/>
  <c r="G80" i="13"/>
  <c r="H80" i="13" s="1"/>
  <c r="H77" i="13"/>
  <c r="G79" i="13"/>
  <c r="H87" i="13" l="1"/>
  <c r="H93" i="13"/>
  <c r="H79" i="13"/>
  <c r="G70" i="13"/>
  <c r="G110" i="10" s="1"/>
  <c r="G81" i="13"/>
  <c r="H81" i="13" s="1"/>
  <c r="G112" i="10" l="1"/>
  <c r="H110" i="10"/>
  <c r="G69" i="13"/>
  <c r="H69" i="13" s="1"/>
  <c r="H70" i="13"/>
  <c r="G114" i="10" l="1"/>
  <c r="H112" i="10"/>
  <c r="G116" i="10" l="1"/>
  <c r="G115" i="10"/>
  <c r="H115" i="10" s="1"/>
  <c r="H114" i="10"/>
  <c r="H116" i="10" l="1"/>
  <c r="G133" i="10"/>
  <c r="G142" i="10" l="1"/>
  <c r="H133" i="10"/>
  <c r="G143" i="10" l="1"/>
  <c r="H143" i="10" s="1"/>
  <c r="H142" i="10"/>
</calcChain>
</file>

<file path=xl/sharedStrings.xml><?xml version="1.0" encoding="utf-8"?>
<sst xmlns="http://schemas.openxmlformats.org/spreadsheetml/2006/main" count="526" uniqueCount="268">
  <si>
    <t>Variables Principales de Entrada</t>
  </si>
  <si>
    <t>Indicadores de Control</t>
  </si>
  <si>
    <t>m/s</t>
  </si>
  <si>
    <t xml:space="preserve">m </t>
  </si>
  <si>
    <t>u</t>
  </si>
  <si>
    <t>Diámetro de Orificio</t>
  </si>
  <si>
    <t>mm</t>
  </si>
  <si>
    <t>Area de Flujo por Perforación</t>
  </si>
  <si>
    <t>mm2</t>
  </si>
  <si>
    <t>Coeficiente de Descarga</t>
  </si>
  <si>
    <t>Cd</t>
  </si>
  <si>
    <t>Lps</t>
  </si>
  <si>
    <t>pg</t>
  </si>
  <si>
    <t xml:space="preserve">Cabeza de Velocidad </t>
  </si>
  <si>
    <t>m</t>
  </si>
  <si>
    <t>Kw</t>
  </si>
  <si>
    <t>m3</t>
  </si>
  <si>
    <t xml:space="preserve">Longitud  </t>
  </si>
  <si>
    <t>Perdidas de Cabeza en Tubería</t>
  </si>
  <si>
    <t>kg NH4/día</t>
  </si>
  <si>
    <t>mg NH4/L</t>
  </si>
  <si>
    <t>Eficiencia de Bombeo</t>
  </si>
  <si>
    <t>HP</t>
  </si>
  <si>
    <t>Kw-h/año</t>
  </si>
  <si>
    <t>Velocidad en Perforaciones</t>
  </si>
  <si>
    <t>Accesorios</t>
  </si>
  <si>
    <t>Diferencia de Altura</t>
  </si>
  <si>
    <t>Kg/m3</t>
  </si>
  <si>
    <t>mg DBO5/L</t>
  </si>
  <si>
    <t>Concentración de DBO5 Afluente</t>
  </si>
  <si>
    <t>Clasificación de la Información</t>
  </si>
  <si>
    <t>Carga de DBO5 Afluente</t>
  </si>
  <si>
    <t>kg DBO5/día</t>
  </si>
  <si>
    <t>kW-h/m3</t>
  </si>
  <si>
    <t>Caudal de Diseño de la Planta</t>
  </si>
  <si>
    <t>Concentración de NH4 Afluente</t>
  </si>
  <si>
    <t>Concentración de Fósforo Afluente</t>
  </si>
  <si>
    <t>mg P/L</t>
  </si>
  <si>
    <t>Relación C/N de Entrada</t>
  </si>
  <si>
    <t>Relación N/P de Entrada</t>
  </si>
  <si>
    <t>Total Cabeza de Bombeo de Recirculación</t>
  </si>
  <si>
    <t>Potencia de Bomba de Recirculación</t>
  </si>
  <si>
    <t>Caudal de Bombeo</t>
  </si>
  <si>
    <t>Carbono perdido en Compostaje</t>
  </si>
  <si>
    <t>Condiciones de Entrada</t>
  </si>
  <si>
    <t>Carga de NH4 Afluente</t>
  </si>
  <si>
    <t>Factor de Operación del Bombeo</t>
  </si>
  <si>
    <t>Parámetros de la Caña de Azucar</t>
  </si>
  <si>
    <t>Porcentaje de Bagazo Seco en la Caña</t>
  </si>
  <si>
    <t>Proporción de Hojas y Cogollos respecto al Bagazo Seco</t>
  </si>
  <si>
    <t>Porcentaje de Sacarosa del Jugo de Caña</t>
  </si>
  <si>
    <t>12 a 16%</t>
  </si>
  <si>
    <t>Porcentaje de Sacarosa en la Caña</t>
  </si>
  <si>
    <t>Porcentaje de Hojas y Cogollos en Carbohidratos de la Caña</t>
  </si>
  <si>
    <t>Total de Carbohidratos en la Caña</t>
  </si>
  <si>
    <t>Cantidad  de Carbono Requerida para Nitrificación Heterótrofa</t>
  </si>
  <si>
    <t>Cantidad de Caña de Azucar Requerida</t>
  </si>
  <si>
    <t>Kg caña/día</t>
  </si>
  <si>
    <t>Días</t>
  </si>
  <si>
    <t>Kg</t>
  </si>
  <si>
    <t>Densidad del Bagazo Picado</t>
  </si>
  <si>
    <t>Perdidas en Tuberías Totales</t>
  </si>
  <si>
    <t>min</t>
  </si>
  <si>
    <t>mg/Lt-min</t>
  </si>
  <si>
    <t>Relación C/N Requerida en Compostaje</t>
  </si>
  <si>
    <t>Tasa de Remocion de Nitrógeno Amoniacal</t>
  </si>
  <si>
    <t>Carbono aportado por Aguas Residuales</t>
  </si>
  <si>
    <t>gr DBO5/gr NH4</t>
  </si>
  <si>
    <t>Carbono requerido para el Compostaje</t>
  </si>
  <si>
    <t>Proporcion del Carbono incorporado en Compostaje</t>
  </si>
  <si>
    <t>Secuestro de Carbono por la Planta Pinch</t>
  </si>
  <si>
    <t>Consumo Anual de Caña de Azúcar</t>
  </si>
  <si>
    <t>Cantidad de Carbono a Añadir</t>
  </si>
  <si>
    <t>Ton caña/año</t>
  </si>
  <si>
    <t>Ton C/año</t>
  </si>
  <si>
    <t>Area de Cultivo de Caña Requerida</t>
  </si>
  <si>
    <t>hectáreas</t>
  </si>
  <si>
    <t>Parámetros del Aspersor de Hélice</t>
  </si>
  <si>
    <t>Diámetro de Eje</t>
  </si>
  <si>
    <t>Cabeza de Velocidad en Aspersores</t>
  </si>
  <si>
    <t>Caudal por Aspersor</t>
  </si>
  <si>
    <t>Número de Aspersores por Línea</t>
  </si>
  <si>
    <t>Número de Lineas por Módulo</t>
  </si>
  <si>
    <t xml:space="preserve">Capacidad del Trapiche    </t>
  </si>
  <si>
    <t>kg/h</t>
  </si>
  <si>
    <t>Tiempo para Procesar Caña por Jornada</t>
  </si>
  <si>
    <t>horas/día</t>
  </si>
  <si>
    <t>Potencia de Trapiche</t>
  </si>
  <si>
    <t>Consumo de Energía por Trapiche</t>
  </si>
  <si>
    <t>kW-h/año</t>
  </si>
  <si>
    <t xml:space="preserve">Capacidad del Picapastos       </t>
  </si>
  <si>
    <t>Potencia de Picapastos</t>
  </si>
  <si>
    <t>Consumo de Energía por Picapastos</t>
  </si>
  <si>
    <t>Consumo Anual de Energía Total</t>
  </si>
  <si>
    <t xml:space="preserve">Consumo Anual de Energía por las Bombas de Recirculación </t>
  </si>
  <si>
    <t>Altura de Muros</t>
  </si>
  <si>
    <t>Parámetros de los Lechos</t>
  </si>
  <si>
    <t>Volumen de Bagazo a Procesar por Semana</t>
  </si>
  <si>
    <t>Tiempo para Procesar Caña por Día</t>
  </si>
  <si>
    <t>Porcentaje de Carbohidratos de Fácil Degradación en la Caña</t>
  </si>
  <si>
    <t>Parámetros y Datos de Diseño Calculados</t>
  </si>
  <si>
    <t>Diametro</t>
  </si>
  <si>
    <t xml:space="preserve">Caudal </t>
  </si>
  <si>
    <t xml:space="preserve">Velocidad Media </t>
  </si>
  <si>
    <t xml:space="preserve">Material </t>
  </si>
  <si>
    <t>PVC</t>
  </si>
  <si>
    <t>Km</t>
  </si>
  <si>
    <t>Cantidad</t>
  </si>
  <si>
    <t>Codo  de radio corto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</si>
  <si>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</si>
  <si>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>Pérdidas:</t>
  </si>
  <si>
    <t>Parámetros de Diseño Asumidos</t>
  </si>
  <si>
    <t>Fuente</t>
  </si>
  <si>
    <t>Cantidad de Bagazo Seco por Semana</t>
  </si>
  <si>
    <t>Densidad del Compost producido</t>
  </si>
  <si>
    <t>Volumen del Compost a Procesar por Día Hábil</t>
  </si>
  <si>
    <t>Otros Cálculos</t>
  </si>
  <si>
    <t xml:space="preserve">Parámetros  tomados de la Literatura Científica o Técnica </t>
  </si>
  <si>
    <t>Resultados Finales e Indicadores de Desempeño</t>
  </si>
  <si>
    <t>Tiempo del Ciclo de Compostaje asumido</t>
  </si>
  <si>
    <t xml:space="preserve">Cantidad de Caña de Azucar a Procesar por Semana </t>
  </si>
  <si>
    <t>Variable de Ajuste</t>
  </si>
  <si>
    <t>Hoja "Tuberías"</t>
  </si>
  <si>
    <t>Tubería de Succión de Bomba</t>
  </si>
  <si>
    <t xml:space="preserve">Caudal  </t>
  </si>
  <si>
    <t>Valvula de cheque tipo cortina</t>
  </si>
  <si>
    <t>Salida de Descarga de Bomba</t>
  </si>
  <si>
    <t>Tubería de Distribución en RSB</t>
  </si>
  <si>
    <t>Caudal Inicial</t>
  </si>
  <si>
    <t>Area Seccional</t>
  </si>
  <si>
    <t>m2</t>
  </si>
  <si>
    <t>No de Tramos</t>
  </si>
  <si>
    <t>Longitud del Tramo</t>
  </si>
  <si>
    <t>Caudal de Entrada por Tramo</t>
  </si>
  <si>
    <t>Tee  en Setido Recto</t>
  </si>
  <si>
    <t>Km =</t>
  </si>
  <si>
    <t xml:space="preserve">Perdidas </t>
  </si>
  <si>
    <t>Tramo</t>
  </si>
  <si>
    <t>Caudal</t>
  </si>
  <si>
    <t>Pérdidas</t>
  </si>
  <si>
    <t>Tuberia de Bombeo de Etapa 1</t>
  </si>
  <si>
    <t>Tuberia de Bombeo de Etapa 2</t>
  </si>
  <si>
    <t>Numeral F-5,4</t>
  </si>
  <si>
    <t>Ecuación F-11</t>
  </si>
  <si>
    <t>Tabla B. 6,30, RAS</t>
  </si>
  <si>
    <t>Planos de Diseño</t>
  </si>
  <si>
    <t>Hoja "Planta Pinch"</t>
  </si>
  <si>
    <t>Tubería de Aireación del RSB</t>
  </si>
  <si>
    <t>Borde Libre</t>
  </si>
  <si>
    <t>Tabla A-7 del Capítulo A-5.</t>
  </si>
  <si>
    <t>Román Jimenez (Ref. B-29)</t>
  </si>
  <si>
    <t xml:space="preserve">Productividad de Tallos de Caña </t>
  </si>
  <si>
    <t>Ton/ha-año</t>
  </si>
  <si>
    <t>Productividad de Hojas y Cogollos (17%)</t>
  </si>
  <si>
    <t>Productividad de la Caña en Materia Seca</t>
  </si>
  <si>
    <t>Secuestro de Carbono Atmosférico por la Planta Pinch</t>
  </si>
  <si>
    <t>Adición de Carbono procedente de la Caña</t>
  </si>
  <si>
    <t>Secuestro de Carbono por Hectárea de Caña al Año</t>
  </si>
  <si>
    <t>Ton C/año-ha</t>
  </si>
  <si>
    <t xml:space="preserve">Andrew J. Ray et al (Ref. B-78).  Num. B-9.6 </t>
  </si>
  <si>
    <t>Román Jiménez et al Ref. C-84)</t>
  </si>
  <si>
    <t>Sistema de Bombeo de Recirculación de Etapa 1 (Producción de Bioflócs)</t>
  </si>
  <si>
    <t>No de Dias Laborales</t>
  </si>
  <si>
    <t>Curva Característica de la Bomba</t>
  </si>
  <si>
    <t>Relación C/N en Lombricompostaje</t>
  </si>
  <si>
    <t>Porcentaje de Carbono en la Caña</t>
  </si>
  <si>
    <t>Total de Carbono aportado por la Caña</t>
  </si>
  <si>
    <t xml:space="preserve">Información de Entrada </t>
  </si>
  <si>
    <t>Información de Salida</t>
  </si>
  <si>
    <t>Ancho de Lecho de Compostaje</t>
  </si>
  <si>
    <t>Altura de la Caña calculada</t>
  </si>
  <si>
    <t>Ancho de Lecho de Lombricompostaje</t>
  </si>
  <si>
    <t>Altura de Material en Lecho de Lombricompostaje</t>
  </si>
  <si>
    <t>Calculo Alterno</t>
  </si>
  <si>
    <t>Diferencia</t>
  </si>
  <si>
    <t>Pérdidas Totales:</t>
  </si>
  <si>
    <t>Pérdidas :</t>
  </si>
  <si>
    <t xml:space="preserve">         Pérdidas :</t>
  </si>
  <si>
    <t xml:space="preserve">   Pérdidas :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</si>
  <si>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</si>
  <si>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</si>
  <si>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</si>
  <si>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</si>
  <si>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</si>
  <si>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</si>
  <si>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</si>
  <si>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</si>
  <si>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</si>
  <si>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</si>
  <si>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</si>
  <si>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</si>
  <si>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</si>
  <si>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</si>
  <si>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</si>
  <si>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</si>
  <si>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</si>
  <si>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</si>
  <si>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</si>
  <si>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</si>
  <si>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>- Se realiza la gráfica a partir de las columnas de la abcisa y de las ordenadas.</t>
  </si>
  <si>
    <t>Notas</t>
  </si>
  <si>
    <t>a la columna E, y luego se quita el color distintivo.</t>
  </si>
  <si>
    <t>Es importante verificar el cumplimento de las condiciones indIcadas en la columna D</t>
  </si>
  <si>
    <t>PLANTA PINCH</t>
  </si>
  <si>
    <t>1/2"</t>
  </si>
  <si>
    <t>1/8"</t>
  </si>
  <si>
    <t>No de Conjuntos</t>
  </si>
  <si>
    <t>Caudal de Diseño por Conjunto</t>
  </si>
  <si>
    <t>Número Total de Aspersores por Bomba</t>
  </si>
  <si>
    <t>Número de Aspersores por Bomba</t>
  </si>
  <si>
    <t>Numero de Modulos por Conjunto</t>
  </si>
  <si>
    <t xml:space="preserve">Consumo Anual de Energía por Bomba de Etapa 1 </t>
  </si>
  <si>
    <t>Tiempo del Ciclo de Riego</t>
  </si>
  <si>
    <t>Caudal de Riego</t>
  </si>
  <si>
    <t>Longitud de Modulo</t>
  </si>
  <si>
    <t>Area en Planta de Lechos de Compostaje</t>
  </si>
  <si>
    <t>Grosor del Alambre</t>
  </si>
  <si>
    <t>Porcentaje del Area de Flujo</t>
  </si>
  <si>
    <t>Area de Flujo de Malla</t>
  </si>
  <si>
    <t>Volumen de Bagazo a Procesar por Modulo y por Día Hábil</t>
  </si>
  <si>
    <t>Consumo de Energía</t>
  </si>
  <si>
    <t xml:space="preserve">Diámetro de Malla Metálica de Drenaje </t>
  </si>
  <si>
    <t>Espaciamiento de Alambres</t>
  </si>
  <si>
    <t>de 4 a 6 mm</t>
  </si>
  <si>
    <t>Altura de Agua y Compost Máxima en los Lechos</t>
  </si>
  <si>
    <t>Densidad del Lombricompost producido</t>
  </si>
  <si>
    <t>Altura de Material en Lecho de Estabilización</t>
  </si>
  <si>
    <t>Area en Planta de Lechos de Lombricompostaje</t>
  </si>
  <si>
    <t>Area en Planta de Lechos de Estabilización</t>
  </si>
  <si>
    <t>Ancho de Lecho de Estabilización</t>
  </si>
  <si>
    <t xml:space="preserve">Tiempo de Aspersión </t>
  </si>
  <si>
    <t>Número de Aspersores por Línea en Etapa 2</t>
  </si>
  <si>
    <t>Número de Aspersores en Etapa 2</t>
  </si>
  <si>
    <t>Número de Aspersores por Línea en Etapa 3</t>
  </si>
  <si>
    <t>Caudal en Etapa 2</t>
  </si>
  <si>
    <t>Caudal en Etapa 3</t>
  </si>
  <si>
    <t>Número de Aspersores en Etapa 3</t>
  </si>
  <si>
    <t>Tasa Total de Recirculación</t>
  </si>
  <si>
    <t>Concentración de Nitrógeno Amoniacal</t>
  </si>
  <si>
    <t>Remoción de Nitrógeno Amoniacal</t>
  </si>
  <si>
    <t>Tiempo de Contacto Requerido para Remoción Total</t>
  </si>
  <si>
    <t>Velocidad del Flujo para Drenaje Total de Caudal Medio</t>
  </si>
  <si>
    <t>Cabeza de Velocidad para Drenaje Total</t>
  </si>
  <si>
    <t>Variable a Controlar en Operación</t>
  </si>
  <si>
    <t>Cabeza en Aspersores</t>
  </si>
  <si>
    <t xml:space="preserve">Porcentaje Carbono de Hojas y Cogollos </t>
  </si>
  <si>
    <t>Proporción de Hojas y Cogollos eb la Caña Seca</t>
  </si>
  <si>
    <t>Consumo de Energía Específico (por m3 de agua)</t>
  </si>
  <si>
    <t>Tiempo para Manipulación de Materiales</t>
  </si>
  <si>
    <t>Teimpo de Riego por Ciclo</t>
  </si>
  <si>
    <t>Tiempo de Aspersión por Ciclo de Riego</t>
  </si>
  <si>
    <t>Volumen de Agua Bombeada por Ciclo de Tratamiento</t>
  </si>
  <si>
    <t>Volumen de Agua Diaria Bombeada a Etapa 1</t>
  </si>
  <si>
    <t>Tasa de Recirculación de Etapa 1</t>
  </si>
  <si>
    <t>Volumen de Agua Diaria Bombeada a Etapa 2</t>
  </si>
  <si>
    <t>Tasa de Recirculación de Etapa 2</t>
  </si>
  <si>
    <t>Volumen de Agua Diaria Bombeada a Etapa 3</t>
  </si>
  <si>
    <t>Tasa de Recirculación de Etapa 3</t>
  </si>
  <si>
    <t xml:space="preserve">Consumo Anual de Energía por Bomba de Etapas 2 y 3 </t>
  </si>
  <si>
    <t>Volumen Diario de Agua Tratada por Día</t>
  </si>
  <si>
    <t>Bombeo de Recirculación de Etapas 2  y 3 (Lombricompostaje y Estabilización)</t>
  </si>
  <si>
    <t>Jairo Alberto Romero. Ref. C-73 Tabla 1,4</t>
  </si>
  <si>
    <t xml:space="preserve">Kishore K. Krishnani et al (Ref. C-86) </t>
  </si>
  <si>
    <t>Manual  de Compostaje FAO (Ref. B-48 del Capitulo B-6)</t>
  </si>
  <si>
    <t>Rajiv K. Sinha (Ref. C-77), Num. C-4.5.3</t>
  </si>
  <si>
    <t>Sharmila K. J. (Ref. C-91. Num. C-4,5,8)</t>
  </si>
  <si>
    <t>FAO -Corpoica (Ref. C-83)</t>
  </si>
  <si>
    <t>Manual FAO -Corpoica (Ref. C-83)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</si>
</sst>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_ * #,##0.00_ ;_ * \-#,##0.00_ ;_ * \-??_ ;_ @_ "/>
    <numFmt numFmtId="165" formatCode="\$#,##0\ ;&quot;($&quot;#,##0\)"/>
    <numFmt numFmtId="166" formatCode="_ [$€-2]\ * #,##0.00_ ;_ [$€-2]\ * \-#,##0.00_ ;_ [$€-2]\ * \-??_ "/>
    <numFmt numFmtId="167" formatCode="&quot;K &quot;00\+000"/>
    <numFmt numFmtId="168" formatCode="_(\$* #,##0_);_(\$* \(#,##0\);_(\$* \-??_);_(@_)"/>
    <numFmt numFmtId="169" formatCode="_-* #,##0.00\ _€_-;\-* #,##0.00\ _€_-;_-* \-??\ _€_-;_-@_-"/>
    <numFmt numFmtId="170" formatCode="_(* #,##0.00_);_(* \(#,##0.00\);_(* \-??_);_(@_)"/>
    <numFmt numFmtId="171" formatCode="_ * #,##0.0000000000_ ;_ * \-#,##0.0000000000_ ;_ * \-??_ ;_ @_ "/>
    <numFmt numFmtId="172" formatCode="_-\$* #,##0.00_-;&quot;-$&quot;* #,##0.00_-;_-\$* \-??_-;_-@_-"/>
    <numFmt numFmtId="173" formatCode="&quot;$ &quot;#,##0_);&quot;($ &quot;#,##0\)"/>
    <numFmt numFmtId="174" formatCode="&quot;$ &quot;#,##0;&quot;$ -&quot;#,##0"/>
    <numFmt numFmtId="175" formatCode="_ &quot;$ &quot;* #,##0.00_ ;_ &quot;$ &quot;* \-#,##0.00_ ;_ &quot;$ &quot;* \-??_ ;_ @_ "/>
    <numFmt numFmtId="176" formatCode="[$$-240A]\ #,##0.00"/>
    <numFmt numFmtId="177" formatCode="_(&quot;$ &quot;* #,##0.00_);_(&quot;$ &quot;* \(#,##0.00\);_(&quot;$ &quot;* \-??_);_(@_)"/>
    <numFmt numFmtId="178" formatCode="_(\$* #,##0.00_);_(\$* \(#,##0.00\);_(\$* \-??_);_(@_)"/>
    <numFmt numFmtId="179" formatCode="_(\$* #,##0_);_(\$* \(#,##0\);_(\$* \-_);_(@_)"/>
    <numFmt numFmtId="180" formatCode="0.000"/>
    <numFmt numFmtId="181" formatCode="_-* #,##0_-;\-* #,##0_-;_-* \-_-;_-@_-"/>
    <numFmt numFmtId="182" formatCode="0.0%"/>
    <numFmt numFmtId="183" formatCode="0.0"/>
    <numFmt numFmtId="184" formatCode="_-&quot;$ &quot;* #,##0_-;&quot;-$ &quot;* #,##0_-;_-&quot;$ &quot;* \-_-;_-@_-"/>
    <numFmt numFmtId="185" formatCode="_ * #,##0.00_ ;_ * \-#,##0.00_ ;_ * &quot;-&quot;??_ ;_ @_ "/>
    <numFmt numFmtId="186" formatCode="_(* #,##0_);_(* \(#,##0\);_(* &quot;-&quot;??_);_(@_)"/>
    <numFmt numFmtId="187" formatCode="_(* #,##0.00_);_(* \(#,##0.00\);_(* &quot;-&quot;??_);_(@_)"/>
    <numFmt numFmtId="188" formatCode="_(* #,##0_);_(* \(#,##0\);_(* \-???_);_(@_)"/>
    <numFmt numFmtId="189" formatCode="_(* #,##0.0_);_(* \(#,##0.0\);_(* &quot;-&quot;??_);_(@_)"/>
    <numFmt numFmtId="190" formatCode="#,##0.0"/>
    <numFmt numFmtId="191" formatCode="0.0000"/>
  </numFmts>
  <fonts count="43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8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charset val="1"/>
    </font>
    <font>
      <vertAlign val="subscript"/>
      <sz val="11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Calibri"/>
      <family val="2"/>
      <charset val="1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DAE3F3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99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D2F9FE"/>
      </patternFill>
    </fill>
    <fill>
      <patternFill patternType="solid">
        <fgColor rgb="FFFFCC99"/>
        <bgColor rgb="FFDDD9C3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4A80AE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800000"/>
      </patternFill>
    </fill>
    <fill>
      <patternFill patternType="solid">
        <fgColor rgb="FF339966"/>
        <bgColor rgb="FF2C9243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EBFED2"/>
      </patternFill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CCFF99"/>
        <bgColor rgb="FFEBFED2"/>
      </patternFill>
    </fill>
    <fill>
      <patternFill patternType="solid">
        <fgColor rgb="FFFFFFCC"/>
        <bgColor rgb="FFDCE6F2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theme="0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2CC"/>
        <bgColor rgb="FFEBFED2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AFE"/>
        <bgColor rgb="FFEBF1DE"/>
      </patternFill>
    </fill>
    <fill>
      <patternFill patternType="solid">
        <fgColor theme="0"/>
        <bgColor rgb="FFEBFED2"/>
      </patternFill>
    </fill>
    <fill>
      <patternFill patternType="solid">
        <fgColor theme="8" tint="0.79998168889431442"/>
        <bgColor rgb="FFEEECE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BFED2"/>
      </patternFill>
    </fill>
    <fill>
      <patternFill patternType="solid">
        <fgColor theme="5" tint="0.79998168889431442"/>
        <bgColor rgb="FFCCFFFF"/>
      </patternFill>
    </fill>
    <fill>
      <patternFill patternType="solid">
        <fgColor rgb="FFCEF8FE"/>
        <bgColor rgb="FFFDEADA"/>
      </patternFill>
    </fill>
    <fill>
      <patternFill patternType="solid">
        <fgColor theme="5" tint="0.79998168889431442"/>
        <bgColor rgb="FFEEECE1"/>
      </patternFill>
    </fill>
    <fill>
      <patternFill patternType="solid">
        <fgColor theme="0"/>
        <bgColor rgb="FFEBF1DE"/>
      </patternFill>
    </fill>
    <fill>
      <patternFill patternType="solid">
        <fgColor theme="5" tint="0.79998168889431442"/>
        <bgColor rgb="FFCCFFCC"/>
      </patternFill>
    </fill>
    <fill>
      <patternFill patternType="solid">
        <fgColor rgb="FFCEF8FE"/>
        <bgColor indexed="64"/>
      </patternFill>
    </fill>
    <fill>
      <patternFill patternType="solid">
        <fgColor rgb="FFC2F7FE"/>
        <bgColor rgb="FFEBF1DE"/>
      </patternFill>
    </fill>
    <fill>
      <patternFill patternType="solid">
        <fgColor rgb="FFC2F7FE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348">
    <xf numFmtId="0" fontId="0" fillId="0" borderId="0"/>
    <xf numFmtId="9" fontId="23" fillId="0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2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5" fillId="21" borderId="2" applyProtection="0"/>
    <xf numFmtId="4" fontId="6" fillId="0" borderId="0"/>
    <xf numFmtId="164" fontId="23" fillId="0" borderId="0" applyBorder="0" applyProtection="0"/>
    <xf numFmtId="3" fontId="23" fillId="0" borderId="0" applyBorder="0" applyProtection="0"/>
    <xf numFmtId="165" fontId="23" fillId="0" borderId="0" applyBorder="0" applyProtection="0"/>
    <xf numFmtId="0" fontId="23" fillId="0" borderId="0" applyBorder="0" applyProtection="0"/>
    <xf numFmtId="0" fontId="2" fillId="0" borderId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0" fontId="7" fillId="0" borderId="0" applyBorder="0" applyProtection="0"/>
    <xf numFmtId="2" fontId="23" fillId="0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167" fontId="23" fillId="0" borderId="0" applyBorder="0" applyProtection="0"/>
    <xf numFmtId="167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9" fontId="23" fillId="0" borderId="0" applyBorder="0" applyProtection="0"/>
    <xf numFmtId="170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170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71" fontId="23" fillId="0" borderId="0" applyBorder="0" applyProtection="0"/>
    <xf numFmtId="171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2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64" fontId="23" fillId="0" borderId="0" applyBorder="0" applyProtection="0"/>
    <xf numFmtId="172" fontId="23" fillId="0" borderId="0" applyBorder="0" applyProtection="0"/>
    <xf numFmtId="173" fontId="23" fillId="0" borderId="0" applyBorder="0" applyProtection="0"/>
    <xf numFmtId="16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6" fontId="23" fillId="0" borderId="0" applyBorder="0" applyProtection="0"/>
    <xf numFmtId="177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7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7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23" fillId="22" borderId="7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181" fontId="23" fillId="0" borderId="0" applyBorder="0" applyProtection="0"/>
    <xf numFmtId="181" fontId="23" fillId="0" borderId="0" applyBorder="0" applyProtection="0"/>
    <xf numFmtId="184" fontId="23" fillId="0" borderId="0" applyBorder="0" applyProtection="0"/>
  </cellStyleXfs>
  <cellXfs count="418">
    <xf numFmtId="0" fontId="0" fillId="0" borderId="0" xfId="0"/>
    <xf numFmtId="0" fontId="20" fillId="24" borderId="10" xfId="0" applyFont="1" applyFill="1" applyBorder="1"/>
    <xf numFmtId="0" fontId="20" fillId="0" borderId="10" xfId="0" applyFont="1" applyBorder="1" applyAlignment="1">
      <alignment horizontal="center"/>
    </xf>
    <xf numFmtId="0" fontId="20" fillId="24" borderId="10" xfId="0" applyFont="1" applyFill="1" applyBorder="1" applyAlignment="1">
      <alignment horizontal="center"/>
    </xf>
    <xf numFmtId="0" fontId="18" fillId="24" borderId="11" xfId="0" applyFont="1" applyFill="1" applyBorder="1"/>
    <xf numFmtId="3" fontId="20" fillId="0" borderId="10" xfId="0" applyNumberFormat="1" applyFont="1" applyBorder="1" applyAlignment="1">
      <alignment horizontal="right" indent="1"/>
    </xf>
    <xf numFmtId="0" fontId="20" fillId="0" borderId="11" xfId="0" applyFont="1" applyBorder="1"/>
    <xf numFmtId="0" fontId="20" fillId="0" borderId="9" xfId="0" applyFont="1" applyBorder="1"/>
    <xf numFmtId="0" fontId="20" fillId="0" borderId="14" xfId="0" applyFont="1" applyBorder="1" applyAlignment="1">
      <alignment horizontal="center"/>
    </xf>
    <xf numFmtId="2" fontId="20" fillId="24" borderId="10" xfId="0" applyNumberFormat="1" applyFont="1" applyFill="1" applyBorder="1" applyAlignment="1">
      <alignment horizontal="right" indent="1"/>
    </xf>
    <xf numFmtId="2" fontId="20" fillId="0" borderId="10" xfId="0" applyNumberFormat="1" applyFont="1" applyBorder="1"/>
    <xf numFmtId="0" fontId="18" fillId="23" borderId="11" xfId="0" applyFont="1" applyFill="1" applyBorder="1" applyAlignment="1">
      <alignment vertical="center"/>
    </xf>
    <xf numFmtId="0" fontId="21" fillId="0" borderId="14" xfId="0" applyFont="1" applyBorder="1" applyAlignment="1">
      <alignment horizontal="left"/>
    </xf>
    <xf numFmtId="0" fontId="18" fillId="24" borderId="10" xfId="0" applyFont="1" applyFill="1" applyBorder="1" applyAlignment="1">
      <alignment horizontal="center"/>
    </xf>
    <xf numFmtId="0" fontId="18" fillId="27" borderId="11" xfId="0" applyFont="1" applyFill="1" applyBorder="1"/>
    <xf numFmtId="0" fontId="18" fillId="26" borderId="11" xfId="0" applyFont="1" applyFill="1" applyBorder="1"/>
    <xf numFmtId="3" fontId="18" fillId="0" borderId="10" xfId="0" applyNumberFormat="1" applyFont="1" applyBorder="1" applyAlignment="1">
      <alignment horizontal="right" vertical="center" indent="1"/>
    </xf>
    <xf numFmtId="3" fontId="18" fillId="0" borderId="14" xfId="0" applyNumberFormat="1" applyFont="1" applyBorder="1" applyAlignment="1">
      <alignment horizontal="right" vertical="center" indent="1"/>
    </xf>
    <xf numFmtId="2" fontId="20" fillId="27" borderId="10" xfId="0" applyNumberFormat="1" applyFont="1" applyFill="1" applyBorder="1" applyAlignment="1">
      <alignment horizontal="right" vertical="center" indent="1"/>
    </xf>
    <xf numFmtId="0" fontId="26" fillId="0" borderId="0" xfId="0" applyFont="1"/>
    <xf numFmtId="0" fontId="25" fillId="0" borderId="0" xfId="0" applyFont="1"/>
    <xf numFmtId="0" fontId="27" fillId="0" borderId="0" xfId="0" applyFont="1" applyAlignment="1">
      <alignment horizontal="center"/>
    </xf>
    <xf numFmtId="0" fontId="29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right"/>
    </xf>
    <xf numFmtId="9" fontId="18" fillId="24" borderId="10" xfId="1" applyFont="1" applyFill="1" applyBorder="1" applyAlignment="1">
      <alignment horizontal="right" indent="1"/>
    </xf>
    <xf numFmtId="3" fontId="20" fillId="27" borderId="10" xfId="0" applyNumberFormat="1" applyFont="1" applyFill="1" applyBorder="1" applyAlignment="1">
      <alignment horizontal="right" vertical="center" indent="1"/>
    </xf>
    <xf numFmtId="3" fontId="20" fillId="26" borderId="10" xfId="0" applyNumberFormat="1" applyFont="1" applyFill="1" applyBorder="1" applyAlignment="1">
      <alignment horizontal="right" indent="1"/>
    </xf>
    <xf numFmtId="0" fontId="20" fillId="27" borderId="10" xfId="0" applyFont="1" applyFill="1" applyBorder="1" applyAlignment="1">
      <alignment horizontal="center"/>
    </xf>
    <xf numFmtId="9" fontId="29" fillId="0" borderId="0" xfId="1" applyFont="1" applyAlignment="1">
      <alignment horizontal="center" vertical="center"/>
    </xf>
    <xf numFmtId="0" fontId="20" fillId="23" borderId="10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vertical="center"/>
    </xf>
    <xf numFmtId="0" fontId="20" fillId="29" borderId="11" xfId="0" applyFont="1" applyFill="1" applyBorder="1"/>
    <xf numFmtId="2" fontId="20" fillId="29" borderId="10" xfId="0" applyNumberFormat="1" applyFont="1" applyFill="1" applyBorder="1" applyAlignment="1">
      <alignment horizontal="right" vertical="center" indent="1"/>
    </xf>
    <xf numFmtId="3" fontId="18" fillId="24" borderId="10" xfId="0" applyNumberFormat="1" applyFont="1" applyFill="1" applyBorder="1" applyAlignment="1">
      <alignment horizontal="right" vertical="center" indent="1"/>
    </xf>
    <xf numFmtId="2" fontId="18" fillId="24" borderId="10" xfId="0" applyNumberFormat="1" applyFont="1" applyFill="1" applyBorder="1" applyAlignment="1">
      <alignment horizontal="right" vertical="center" indent="1"/>
    </xf>
    <xf numFmtId="10" fontId="26" fillId="0" borderId="0" xfId="0" applyNumberFormat="1" applyFont="1" applyAlignment="1">
      <alignment horizontal="right"/>
    </xf>
    <xf numFmtId="0" fontId="25" fillId="30" borderId="10" xfId="0" applyFont="1" applyFill="1" applyBorder="1"/>
    <xf numFmtId="186" fontId="25" fillId="30" borderId="10" xfId="0" applyNumberFormat="1" applyFont="1" applyFill="1" applyBorder="1"/>
    <xf numFmtId="2" fontId="25" fillId="30" borderId="11" xfId="0" applyNumberFormat="1" applyFont="1" applyFill="1" applyBorder="1"/>
    <xf numFmtId="1" fontId="18" fillId="26" borderId="10" xfId="0" applyNumberFormat="1" applyFont="1" applyFill="1" applyBorder="1" applyAlignment="1">
      <alignment horizontal="center"/>
    </xf>
    <xf numFmtId="0" fontId="21" fillId="0" borderId="10" xfId="0" applyFont="1" applyBorder="1"/>
    <xf numFmtId="0" fontId="20" fillId="33" borderId="10" xfId="0" applyFont="1" applyFill="1" applyBorder="1"/>
    <xf numFmtId="0" fontId="20" fillId="33" borderId="11" xfId="0" applyFont="1" applyFill="1" applyBorder="1"/>
    <xf numFmtId="180" fontId="20" fillId="29" borderId="10" xfId="0" applyNumberFormat="1" applyFont="1" applyFill="1" applyBorder="1" applyAlignment="1">
      <alignment horizontal="right" vertical="center" indent="1"/>
    </xf>
    <xf numFmtId="4" fontId="18" fillId="24" borderId="10" xfId="0" applyNumberFormat="1" applyFont="1" applyFill="1" applyBorder="1" applyAlignment="1">
      <alignment horizontal="right" vertical="center" indent="1"/>
    </xf>
    <xf numFmtId="0" fontId="21" fillId="0" borderId="14" xfId="0" applyFont="1" applyBorder="1"/>
    <xf numFmtId="0" fontId="18" fillId="36" borderId="10" xfId="0" applyFont="1" applyFill="1" applyBorder="1"/>
    <xf numFmtId="0" fontId="18" fillId="0" borderId="9" xfId="0" applyFont="1" applyBorder="1"/>
    <xf numFmtId="0" fontId="24" fillId="0" borderId="0" xfId="0" applyFont="1"/>
    <xf numFmtId="2" fontId="24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10" xfId="0" applyFont="1" applyBorder="1"/>
    <xf numFmtId="2" fontId="20" fillId="0" borderId="10" xfId="0" applyNumberFormat="1" applyFont="1" applyBorder="1" applyAlignment="1">
      <alignment horizontal="right" vertical="center" indent="1"/>
    </xf>
    <xf numFmtId="0" fontId="37" fillId="0" borderId="0" xfId="0" applyFont="1" applyAlignment="1">
      <alignment horizontal="center" vertical="center" wrapText="1"/>
    </xf>
    <xf numFmtId="0" fontId="38" fillId="0" borderId="0" xfId="0" applyFont="1"/>
    <xf numFmtId="0" fontId="18" fillId="0" borderId="11" xfId="0" applyFont="1" applyBorder="1" applyAlignment="1">
      <alignment vertical="center"/>
    </xf>
    <xf numFmtId="1" fontId="18" fillId="39" borderId="10" xfId="0" applyNumberFormat="1" applyFont="1" applyFill="1" applyBorder="1" applyAlignment="1">
      <alignment horizontal="right" indent="1"/>
    </xf>
    <xf numFmtId="0" fontId="18" fillId="39" borderId="11" xfId="0" applyFont="1" applyFill="1" applyBorder="1"/>
    <xf numFmtId="0" fontId="18" fillId="41" borderId="10" xfId="0" applyFont="1" applyFill="1" applyBorder="1" applyAlignment="1">
      <alignment horizontal="center" vertical="center"/>
    </xf>
    <xf numFmtId="2" fontId="18" fillId="41" borderId="11" xfId="0" applyNumberFormat="1" applyFont="1" applyFill="1" applyBorder="1" applyAlignment="1">
      <alignment horizontal="left" vertical="center"/>
    </xf>
    <xf numFmtId="0" fontId="27" fillId="32" borderId="10" xfId="0" applyFont="1" applyFill="1" applyBorder="1" applyAlignment="1">
      <alignment horizontal="left" vertical="center"/>
    </xf>
    <xf numFmtId="0" fontId="20" fillId="34" borderId="11" xfId="0" applyFont="1" applyFill="1" applyBorder="1" applyAlignment="1">
      <alignment vertical="center"/>
    </xf>
    <xf numFmtId="185" fontId="24" fillId="32" borderId="11" xfId="0" applyNumberFormat="1" applyFont="1" applyFill="1" applyBorder="1" applyAlignment="1">
      <alignment vertical="center"/>
    </xf>
    <xf numFmtId="0" fontId="20" fillId="37" borderId="10" xfId="0" applyFont="1" applyFill="1" applyBorder="1" applyAlignment="1">
      <alignment horizontal="center"/>
    </xf>
    <xf numFmtId="0" fontId="18" fillId="37" borderId="11" xfId="0" applyFont="1" applyFill="1" applyBorder="1"/>
    <xf numFmtId="2" fontId="20" fillId="43" borderId="10" xfId="0" applyNumberFormat="1" applyFont="1" applyFill="1" applyBorder="1"/>
    <xf numFmtId="0" fontId="20" fillId="43" borderId="11" xfId="0" applyFont="1" applyFill="1" applyBorder="1"/>
    <xf numFmtId="2" fontId="20" fillId="43" borderId="10" xfId="0" applyNumberFormat="1" applyFont="1" applyFill="1" applyBorder="1" applyAlignment="1">
      <alignment horizontal="center"/>
    </xf>
    <xf numFmtId="2" fontId="18" fillId="39" borderId="10" xfId="0" applyNumberFormat="1" applyFont="1" applyFill="1" applyBorder="1" applyAlignment="1">
      <alignment horizontal="right" indent="1"/>
    </xf>
    <xf numFmtId="188" fontId="20" fillId="0" borderId="12" xfId="0" applyNumberFormat="1" applyFont="1" applyBorder="1" applyAlignment="1">
      <alignment horizontal="right" indent="1"/>
    </xf>
    <xf numFmtId="4" fontId="20" fillId="0" borderId="12" xfId="0" applyNumberFormat="1" applyFont="1" applyBorder="1" applyAlignment="1">
      <alignment horizontal="right" indent="1"/>
    </xf>
    <xf numFmtId="2" fontId="20" fillId="0" borderId="12" xfId="0" applyNumberFormat="1" applyFont="1" applyBorder="1" applyAlignment="1">
      <alignment horizontal="right"/>
    </xf>
    <xf numFmtId="2" fontId="20" fillId="37" borderId="10" xfId="0" applyNumberFormat="1" applyFont="1" applyFill="1" applyBorder="1" applyAlignment="1">
      <alignment horizontal="right" indent="1"/>
    </xf>
    <xf numFmtId="164" fontId="18" fillId="44" borderId="12" xfId="0" applyNumberFormat="1" applyFont="1" applyFill="1" applyBorder="1" applyAlignment="1">
      <alignment horizontal="right" vertical="center"/>
    </xf>
    <xf numFmtId="0" fontId="18" fillId="44" borderId="13" xfId="0" applyFont="1" applyFill="1" applyBorder="1" applyAlignment="1">
      <alignment horizontal="left" vertical="center"/>
    </xf>
    <xf numFmtId="2" fontId="20" fillId="45" borderId="14" xfId="0" applyNumberFormat="1" applyFont="1" applyFill="1" applyBorder="1" applyAlignment="1">
      <alignment horizontal="right" indent="1"/>
    </xf>
    <xf numFmtId="0" fontId="18" fillId="45" borderId="16" xfId="0" applyFont="1" applyFill="1" applyBorder="1"/>
    <xf numFmtId="0" fontId="20" fillId="45" borderId="10" xfId="0" applyFont="1" applyFill="1" applyBorder="1" applyAlignment="1">
      <alignment horizontal="center"/>
    </xf>
    <xf numFmtId="2" fontId="20" fillId="45" borderId="10" xfId="0" applyNumberFormat="1" applyFont="1" applyFill="1" applyBorder="1" applyAlignment="1">
      <alignment horizontal="right" indent="1"/>
    </xf>
    <xf numFmtId="0" fontId="18" fillId="45" borderId="11" xfId="0" applyFont="1" applyFill="1" applyBorder="1"/>
    <xf numFmtId="1" fontId="18" fillId="39" borderId="10" xfId="0" applyNumberFormat="1" applyFont="1" applyFill="1" applyBorder="1" applyAlignment="1">
      <alignment horizontal="center"/>
    </xf>
    <xf numFmtId="9" fontId="18" fillId="39" borderId="10" xfId="1" applyFont="1" applyFill="1" applyBorder="1" applyAlignment="1">
      <alignment horizontal="right" indent="1"/>
    </xf>
    <xf numFmtId="3" fontId="18" fillId="39" borderId="10" xfId="0" applyNumberFormat="1" applyFont="1" applyFill="1" applyBorder="1" applyAlignment="1">
      <alignment horizontal="right" indent="1"/>
    </xf>
    <xf numFmtId="0" fontId="18" fillId="31" borderId="10" xfId="0" applyFont="1" applyFill="1" applyBorder="1" applyAlignment="1">
      <alignment horizontal="center"/>
    </xf>
    <xf numFmtId="2" fontId="18" fillId="31" borderId="11" xfId="0" applyNumberFormat="1" applyFont="1" applyFill="1" applyBorder="1" applyAlignment="1">
      <alignment horizontal="left"/>
    </xf>
    <xf numFmtId="0" fontId="30" fillId="0" borderId="0" xfId="0" applyFont="1"/>
    <xf numFmtId="1" fontId="30" fillId="0" borderId="0" xfId="0" applyNumberFormat="1" applyFont="1" applyAlignment="1">
      <alignment horizontal="right"/>
    </xf>
    <xf numFmtId="1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182" fontId="31" fillId="0" borderId="0" xfId="1" applyNumberFormat="1" applyFont="1" applyBorder="1" applyAlignment="1">
      <alignment horizontal="left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right" indent="1"/>
    </xf>
    <xf numFmtId="0" fontId="19" fillId="24" borderId="10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0" fillId="0" borderId="10" xfId="0" applyBorder="1"/>
    <xf numFmtId="2" fontId="20" fillId="0" borderId="14" xfId="0" applyNumberFormat="1" applyFont="1" applyBorder="1" applyAlignment="1">
      <alignment horizontal="right" vertical="center" indent="1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right" indent="1"/>
    </xf>
    <xf numFmtId="180" fontId="20" fillId="0" borderId="14" xfId="0" applyNumberFormat="1" applyFont="1" applyBorder="1" applyAlignment="1">
      <alignment horizontal="right" indent="1"/>
    </xf>
    <xf numFmtId="0" fontId="18" fillId="47" borderId="10" xfId="0" applyFont="1" applyFill="1" applyBorder="1" applyAlignment="1">
      <alignment horizontal="center" vertical="center"/>
    </xf>
    <xf numFmtId="1" fontId="20" fillId="47" borderId="14" xfId="0" applyNumberFormat="1" applyFont="1" applyFill="1" applyBorder="1" applyAlignment="1">
      <alignment horizontal="right" vertical="center" indent="1"/>
    </xf>
    <xf numFmtId="187" fontId="25" fillId="0" borderId="10" xfId="0" applyNumberFormat="1" applyFont="1" applyBorder="1"/>
    <xf numFmtId="2" fontId="25" fillId="0" borderId="10" xfId="0" applyNumberFormat="1" applyFont="1" applyBorder="1" applyAlignment="1">
      <alignment horizontal="right" indent="1"/>
    </xf>
    <xf numFmtId="2" fontId="25" fillId="0" borderId="11" xfId="0" applyNumberFormat="1" applyFont="1" applyBorder="1"/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180" fontId="25" fillId="0" borderId="17" xfId="0" applyNumberFormat="1" applyFont="1" applyBorder="1" applyAlignment="1">
      <alignment horizontal="center"/>
    </xf>
    <xf numFmtId="2" fontId="20" fillId="25" borderId="10" xfId="0" applyNumberFormat="1" applyFont="1" applyFill="1" applyBorder="1" applyAlignment="1">
      <alignment horizontal="right"/>
    </xf>
    <xf numFmtId="0" fontId="20" fillId="48" borderId="11" xfId="0" applyFont="1" applyFill="1" applyBorder="1"/>
    <xf numFmtId="0" fontId="24" fillId="0" borderId="17" xfId="0" applyFont="1" applyBorder="1" applyAlignment="1">
      <alignment horizontal="right"/>
    </xf>
    <xf numFmtId="0" fontId="0" fillId="0" borderId="17" xfId="0" applyBorder="1"/>
    <xf numFmtId="4" fontId="20" fillId="0" borderId="10" xfId="0" applyNumberFormat="1" applyFont="1" applyBorder="1" applyAlignment="1">
      <alignment horizontal="right" indent="1"/>
    </xf>
    <xf numFmtId="0" fontId="18" fillId="0" borderId="17" xfId="0" applyFont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2" fontId="20" fillId="0" borderId="14" xfId="0" applyNumberFormat="1" applyFont="1" applyBorder="1" applyAlignment="1">
      <alignment horizontal="right" indent="1"/>
    </xf>
    <xf numFmtId="0" fontId="20" fillId="24" borderId="10" xfId="0" applyFont="1" applyFill="1" applyBorder="1" applyAlignment="1">
      <alignment horizontal="left"/>
    </xf>
    <xf numFmtId="0" fontId="20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0" fontId="20" fillId="47" borderId="10" xfId="0" applyFont="1" applyFill="1" applyBorder="1" applyAlignment="1">
      <alignment horizontal="left" vertical="center"/>
    </xf>
    <xf numFmtId="10" fontId="25" fillId="0" borderId="10" xfId="0" applyNumberFormat="1" applyFont="1" applyBorder="1"/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5" fillId="32" borderId="10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vertical="center"/>
    </xf>
    <xf numFmtId="0" fontId="26" fillId="40" borderId="10" xfId="0" applyFont="1" applyFill="1" applyBorder="1" applyAlignment="1">
      <alignment horizontal="center" vertical="center"/>
    </xf>
    <xf numFmtId="2" fontId="18" fillId="38" borderId="11" xfId="0" applyNumberFormat="1" applyFont="1" applyFill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0" fontId="26" fillId="40" borderId="0" xfId="0" applyFont="1" applyFill="1" applyAlignment="1">
      <alignment horizontal="center" vertical="center"/>
    </xf>
    <xf numFmtId="0" fontId="18" fillId="38" borderId="11" xfId="0" applyFont="1" applyFill="1" applyBorder="1" applyAlignment="1">
      <alignment vertical="center"/>
    </xf>
    <xf numFmtId="0" fontId="18" fillId="38" borderId="10" xfId="0" applyFont="1" applyFill="1" applyBorder="1" applyAlignment="1">
      <alignment vertical="center"/>
    </xf>
    <xf numFmtId="2" fontId="20" fillId="40" borderId="10" xfId="0" applyNumberFormat="1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2" fontId="20" fillId="0" borderId="10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37" borderId="10" xfId="0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188" fontId="20" fillId="40" borderId="10" xfId="0" applyNumberFormat="1" applyFont="1" applyFill="1" applyBorder="1" applyAlignment="1">
      <alignment horizontal="right" vertical="center"/>
    </xf>
    <xf numFmtId="0" fontId="20" fillId="27" borderId="10" xfId="0" applyFont="1" applyFill="1" applyBorder="1" applyAlignment="1">
      <alignment horizontal="center" vertical="center"/>
    </xf>
    <xf numFmtId="0" fontId="18" fillId="27" borderId="11" xfId="0" applyFont="1" applyFill="1" applyBorder="1" applyAlignment="1">
      <alignment vertical="center"/>
    </xf>
    <xf numFmtId="0" fontId="25" fillId="0" borderId="10" xfId="0" applyFont="1" applyBorder="1"/>
    <xf numFmtId="189" fontId="25" fillId="0" borderId="10" xfId="0" applyNumberFormat="1" applyFont="1" applyBorder="1"/>
    <xf numFmtId="9" fontId="18" fillId="36" borderId="10" xfId="0" applyNumberFormat="1" applyFont="1" applyFill="1" applyBorder="1" applyAlignment="1">
      <alignment horizontal="right" indent="1"/>
    </xf>
    <xf numFmtId="0" fontId="18" fillId="36" borderId="11" xfId="0" applyFont="1" applyFill="1" applyBorder="1"/>
    <xf numFmtId="0" fontId="18" fillId="36" borderId="10" xfId="0" applyFont="1" applyFill="1" applyBorder="1" applyAlignment="1">
      <alignment horizontal="center"/>
    </xf>
    <xf numFmtId="182" fontId="20" fillId="49" borderId="10" xfId="1" applyNumberFormat="1" applyFont="1" applyFill="1" applyBorder="1" applyAlignment="1" applyProtection="1">
      <alignment horizontal="right" indent="1"/>
    </xf>
    <xf numFmtId="0" fontId="18" fillId="49" borderId="11" xfId="0" applyFont="1" applyFill="1" applyBorder="1"/>
    <xf numFmtId="182" fontId="20" fillId="25" borderId="10" xfId="1" applyNumberFormat="1" applyFont="1" applyFill="1" applyBorder="1" applyAlignment="1" applyProtection="1">
      <alignment horizontal="right" indent="1"/>
    </xf>
    <xf numFmtId="0" fontId="25" fillId="40" borderId="10" xfId="0" applyFont="1" applyFill="1" applyBorder="1"/>
    <xf numFmtId="186" fontId="25" fillId="40" borderId="10" xfId="0" applyNumberFormat="1" applyFont="1" applyFill="1" applyBorder="1"/>
    <xf numFmtId="2" fontId="25" fillId="40" borderId="11" xfId="0" applyNumberFormat="1" applyFont="1" applyFill="1" applyBorder="1"/>
    <xf numFmtId="0" fontId="20" fillId="25" borderId="10" xfId="0" applyFont="1" applyFill="1" applyBorder="1" applyAlignment="1">
      <alignment horizontal="center"/>
    </xf>
    <xf numFmtId="0" fontId="18" fillId="25" borderId="11" xfId="0" applyFont="1" applyFill="1" applyBorder="1"/>
    <xf numFmtId="182" fontId="20" fillId="0" borderId="10" xfId="1" applyNumberFormat="1" applyFont="1" applyBorder="1" applyAlignment="1" applyProtection="1">
      <alignment horizontal="right" indent="1"/>
    </xf>
    <xf numFmtId="1" fontId="20" fillId="25" borderId="10" xfId="0" applyNumberFormat="1" applyFont="1" applyFill="1" applyBorder="1" applyAlignment="1">
      <alignment horizontal="right" vertical="center" indent="1"/>
    </xf>
    <xf numFmtId="182" fontId="25" fillId="30" borderId="10" xfId="0" applyNumberFormat="1" applyFont="1" applyFill="1" applyBorder="1" applyAlignment="1">
      <alignment horizontal="center" vertical="center"/>
    </xf>
    <xf numFmtId="187" fontId="25" fillId="30" borderId="10" xfId="0" applyNumberFormat="1" applyFont="1" applyFill="1" applyBorder="1" applyAlignment="1">
      <alignment vertical="center"/>
    </xf>
    <xf numFmtId="2" fontId="25" fillId="30" borderId="11" xfId="0" applyNumberFormat="1" applyFont="1" applyFill="1" applyBorder="1" applyAlignment="1">
      <alignment vertical="center"/>
    </xf>
    <xf numFmtId="1" fontId="18" fillId="40" borderId="10" xfId="0" applyNumberFormat="1" applyFont="1" applyFill="1" applyBorder="1" applyAlignment="1">
      <alignment horizontal="center" vertical="center"/>
    </xf>
    <xf numFmtId="1" fontId="18" fillId="40" borderId="10" xfId="0" applyNumberFormat="1" applyFont="1" applyFill="1" applyBorder="1" applyAlignment="1">
      <alignment horizontal="right" vertical="center"/>
    </xf>
    <xf numFmtId="0" fontId="18" fillId="40" borderId="11" xfId="0" applyFont="1" applyFill="1" applyBorder="1" applyAlignment="1">
      <alignment vertical="center"/>
    </xf>
    <xf numFmtId="1" fontId="18" fillId="0" borderId="10" xfId="0" applyNumberFormat="1" applyFont="1" applyBorder="1" applyAlignment="1">
      <alignment horizontal="right" vertical="center"/>
    </xf>
    <xf numFmtId="0" fontId="20" fillId="45" borderId="10" xfId="0" applyFont="1" applyFill="1" applyBorder="1" applyAlignment="1">
      <alignment horizontal="center" vertical="center"/>
    </xf>
    <xf numFmtId="2" fontId="20" fillId="45" borderId="10" xfId="0" applyNumberFormat="1" applyFont="1" applyFill="1" applyBorder="1" applyAlignment="1">
      <alignment horizontal="right" vertical="center"/>
    </xf>
    <xf numFmtId="0" fontId="18" fillId="45" borderId="11" xfId="0" applyFont="1" applyFill="1" applyBorder="1" applyAlignment="1">
      <alignment vertical="center"/>
    </xf>
    <xf numFmtId="0" fontId="25" fillId="30" borderId="10" xfId="0" applyFont="1" applyFill="1" applyBorder="1" applyAlignment="1">
      <alignment vertical="center"/>
    </xf>
    <xf numFmtId="0" fontId="20" fillId="50" borderId="10" xfId="0" applyFont="1" applyFill="1" applyBorder="1" applyAlignment="1">
      <alignment horizontal="center" vertical="center"/>
    </xf>
    <xf numFmtId="0" fontId="18" fillId="50" borderId="11" xfId="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8" fillId="41" borderId="10" xfId="0" applyFont="1" applyFill="1" applyBorder="1" applyAlignment="1">
      <alignment vertical="center"/>
    </xf>
    <xf numFmtId="0" fontId="20" fillId="23" borderId="10" xfId="0" applyFont="1" applyFill="1" applyBorder="1" applyAlignment="1">
      <alignment vertical="center"/>
    </xf>
    <xf numFmtId="0" fontId="20" fillId="50" borderId="10" xfId="0" applyFont="1" applyFill="1" applyBorder="1" applyAlignment="1">
      <alignment vertical="center"/>
    </xf>
    <xf numFmtId="0" fontId="26" fillId="32" borderId="10" xfId="0" applyFont="1" applyFill="1" applyBorder="1" applyAlignment="1">
      <alignment vertical="center"/>
    </xf>
    <xf numFmtId="0" fontId="20" fillId="34" borderId="10" xfId="0" applyFont="1" applyFill="1" applyBorder="1" applyAlignment="1">
      <alignment vertical="center"/>
    </xf>
    <xf numFmtId="0" fontId="25" fillId="32" borderId="10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vertical="center"/>
    </xf>
    <xf numFmtId="0" fontId="20" fillId="40" borderId="10" xfId="0" applyFont="1" applyFill="1" applyBorder="1" applyAlignment="1">
      <alignment vertical="center"/>
    </xf>
    <xf numFmtId="0" fontId="20" fillId="37" borderId="10" xfId="0" applyFont="1" applyFill="1" applyBorder="1" applyAlignment="1">
      <alignment vertical="center"/>
    </xf>
    <xf numFmtId="0" fontId="20" fillId="27" borderId="10" xfId="0" applyFont="1" applyFill="1" applyBorder="1" applyAlignment="1">
      <alignment vertical="center"/>
    </xf>
    <xf numFmtId="0" fontId="18" fillId="24" borderId="10" xfId="0" applyFont="1" applyFill="1" applyBorder="1" applyAlignment="1">
      <alignment vertical="center"/>
    </xf>
    <xf numFmtId="0" fontId="20" fillId="27" borderId="10" xfId="0" applyFont="1" applyFill="1" applyBorder="1"/>
    <xf numFmtId="0" fontId="20" fillId="25" borderId="10" xfId="0" applyFont="1" applyFill="1" applyBorder="1"/>
    <xf numFmtId="0" fontId="20" fillId="0" borderId="10" xfId="0" applyFont="1" applyBorder="1"/>
    <xf numFmtId="0" fontId="20" fillId="43" borderId="10" xfId="0" applyFont="1" applyFill="1" applyBorder="1"/>
    <xf numFmtId="0" fontId="18" fillId="24" borderId="10" xfId="0" applyFont="1" applyFill="1" applyBorder="1"/>
    <xf numFmtId="0" fontId="20" fillId="37" borderId="10" xfId="0" applyFont="1" applyFill="1" applyBorder="1"/>
    <xf numFmtId="0" fontId="18" fillId="39" borderId="10" xfId="0" applyFont="1" applyFill="1" applyBorder="1"/>
    <xf numFmtId="0" fontId="20" fillId="45" borderId="10" xfId="0" applyFont="1" applyFill="1" applyBorder="1"/>
    <xf numFmtId="0" fontId="18" fillId="31" borderId="10" xfId="0" applyFont="1" applyFill="1" applyBorder="1"/>
    <xf numFmtId="0" fontId="18" fillId="36" borderId="10" xfId="0" applyFont="1" applyFill="1" applyBorder="1" applyAlignment="1">
      <alignment vertical="center"/>
    </xf>
    <xf numFmtId="0" fontId="20" fillId="36" borderId="10" xfId="0" applyFont="1" applyFill="1" applyBorder="1" applyAlignment="1">
      <alignment vertical="center"/>
    </xf>
    <xf numFmtId="0" fontId="18" fillId="49" borderId="10" xfId="0" applyFont="1" applyFill="1" applyBorder="1" applyAlignment="1">
      <alignment vertical="center"/>
    </xf>
    <xf numFmtId="0" fontId="18" fillId="40" borderId="14" xfId="0" applyFont="1" applyFill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0" fillId="45" borderId="10" xfId="0" applyFont="1" applyFill="1" applyBorder="1" applyAlignment="1">
      <alignment vertical="center"/>
    </xf>
    <xf numFmtId="0" fontId="26" fillId="0" borderId="17" xfId="0" applyFont="1" applyBorder="1"/>
    <xf numFmtId="0" fontId="21" fillId="0" borderId="15" xfId="0" applyFont="1" applyBorder="1" applyAlignment="1">
      <alignment horizontal="left"/>
    </xf>
    <xf numFmtId="9" fontId="29" fillId="0" borderId="14" xfId="1" applyFont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164" fontId="18" fillId="0" borderId="16" xfId="0" applyNumberFormat="1" applyFont="1" applyBorder="1"/>
    <xf numFmtId="164" fontId="18" fillId="0" borderId="11" xfId="0" applyNumberFormat="1" applyFont="1" applyBorder="1"/>
    <xf numFmtId="0" fontId="20" fillId="0" borderId="0" xfId="0" applyFont="1"/>
    <xf numFmtId="0" fontId="18" fillId="0" borderId="0" xfId="0" applyFont="1"/>
    <xf numFmtId="0" fontId="20" fillId="23" borderId="17" xfId="0" applyFont="1" applyFill="1" applyBorder="1"/>
    <xf numFmtId="0" fontId="20" fillId="24" borderId="17" xfId="0" applyFont="1" applyFill="1" applyBorder="1"/>
    <xf numFmtId="0" fontId="18" fillId="36" borderId="17" xfId="0" applyFont="1" applyFill="1" applyBorder="1"/>
    <xf numFmtId="0" fontId="25" fillId="30" borderId="17" xfId="0" applyFont="1" applyFill="1" applyBorder="1"/>
    <xf numFmtId="0" fontId="20" fillId="26" borderId="17" xfId="0" applyFont="1" applyFill="1" applyBorder="1"/>
    <xf numFmtId="0" fontId="20" fillId="35" borderId="17" xfId="0" applyFont="1" applyFill="1" applyBorder="1"/>
    <xf numFmtId="0" fontId="18" fillId="0" borderId="17" xfId="0" applyFont="1" applyBorder="1"/>
    <xf numFmtId="0" fontId="19" fillId="46" borderId="10" xfId="0" applyFont="1" applyFill="1" applyBorder="1" applyAlignment="1">
      <alignment horizontal="center"/>
    </xf>
    <xf numFmtId="0" fontId="20" fillId="27" borderId="14" xfId="0" applyFont="1" applyFill="1" applyBorder="1" applyAlignment="1">
      <alignment horizontal="center"/>
    </xf>
    <xf numFmtId="0" fontId="0" fillId="0" borderId="11" xfId="0" applyBorder="1"/>
    <xf numFmtId="0" fontId="37" fillId="0" borderId="17" xfId="0" applyFont="1" applyBorder="1" applyAlignment="1">
      <alignment horizontal="center" vertical="center" wrapText="1"/>
    </xf>
    <xf numFmtId="180" fontId="37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right" indent="1"/>
    </xf>
    <xf numFmtId="10" fontId="30" fillId="0" borderId="0" xfId="0" applyNumberFormat="1" applyFont="1" applyAlignment="1">
      <alignment horizontal="center"/>
    </xf>
    <xf numFmtId="10" fontId="31" fillId="0" borderId="0" xfId="0" applyNumberFormat="1" applyFont="1"/>
    <xf numFmtId="10" fontId="31" fillId="0" borderId="0" xfId="0" applyNumberFormat="1" applyFont="1" applyAlignment="1">
      <alignment horizontal="center" vertical="center"/>
    </xf>
    <xf numFmtId="2" fontId="20" fillId="0" borderId="15" xfId="0" applyNumberFormat="1" applyFont="1" applyBorder="1" applyAlignment="1">
      <alignment horizontal="right" indent="1"/>
    </xf>
    <xf numFmtId="183" fontId="40" fillId="30" borderId="9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center" vertical="center"/>
    </xf>
    <xf numFmtId="0" fontId="0" fillId="0" borderId="9" xfId="0" applyBorder="1"/>
    <xf numFmtId="183" fontId="39" fillId="0" borderId="9" xfId="0" applyNumberFormat="1" applyFont="1" applyBorder="1" applyAlignment="1">
      <alignment horizontal="center"/>
    </xf>
    <xf numFmtId="183" fontId="24" fillId="30" borderId="10" xfId="0" applyNumberFormat="1" applyFont="1" applyFill="1" applyBorder="1" applyAlignment="1">
      <alignment horizontal="center"/>
    </xf>
    <xf numFmtId="183" fontId="24" fillId="30" borderId="10" xfId="0" applyNumberFormat="1" applyFont="1" applyFill="1" applyBorder="1" applyAlignment="1">
      <alignment horizontal="left"/>
    </xf>
    <xf numFmtId="2" fontId="40" fillId="30" borderId="10" xfId="0" applyNumberFormat="1" applyFont="1" applyFill="1" applyBorder="1" applyAlignment="1">
      <alignment horizontal="right" indent="1"/>
    </xf>
    <xf numFmtId="183" fontId="40" fillId="30" borderId="10" xfId="0" applyNumberFormat="1" applyFont="1" applyFill="1" applyBorder="1"/>
    <xf numFmtId="0" fontId="24" fillId="0" borderId="10" xfId="0" applyFont="1" applyBorder="1"/>
    <xf numFmtId="2" fontId="25" fillId="0" borderId="10" xfId="0" applyNumberFormat="1" applyFont="1" applyBorder="1"/>
    <xf numFmtId="2" fontId="20" fillId="24" borderId="9" xfId="0" applyNumberFormat="1" applyFont="1" applyFill="1" applyBorder="1" applyAlignment="1">
      <alignment horizontal="right" indent="1"/>
    </xf>
    <xf numFmtId="1" fontId="20" fillId="24" borderId="9" xfId="0" applyNumberFormat="1" applyFont="1" applyFill="1" applyBorder="1" applyAlignment="1">
      <alignment horizontal="right" indent="1"/>
    </xf>
    <xf numFmtId="2" fontId="20" fillId="0" borderId="15" xfId="0" applyNumberFormat="1" applyFont="1" applyBorder="1" applyAlignment="1">
      <alignment horizontal="right" vertical="center" indent="1"/>
    </xf>
    <xf numFmtId="2" fontId="25" fillId="0" borderId="9" xfId="0" applyNumberFormat="1" applyFont="1" applyBorder="1" applyAlignment="1">
      <alignment horizontal="right" indent="1"/>
    </xf>
    <xf numFmtId="0" fontId="18" fillId="47" borderId="10" xfId="0" applyFont="1" applyFill="1" applyBorder="1"/>
    <xf numFmtId="2" fontId="39" fillId="0" borderId="9" xfId="0" applyNumberFormat="1" applyFont="1" applyBorder="1" applyAlignment="1">
      <alignment horizontal="left"/>
    </xf>
    <xf numFmtId="0" fontId="41" fillId="0" borderId="0" xfId="0" applyFont="1" applyAlignment="1">
      <alignment horizontal="right"/>
    </xf>
    <xf numFmtId="2" fontId="24" fillId="0" borderId="10" xfId="0" applyNumberFormat="1" applyFont="1" applyBorder="1" applyAlignment="1">
      <alignment horizontal="right" indent="1"/>
    </xf>
    <xf numFmtId="190" fontId="20" fillId="0" borderId="10" xfId="0" applyNumberFormat="1" applyFont="1" applyBorder="1"/>
    <xf numFmtId="0" fontId="20" fillId="0" borderId="9" xfId="0" applyFont="1" applyBorder="1" applyAlignment="1">
      <alignment vertical="center" wrapText="1"/>
    </xf>
    <xf numFmtId="2" fontId="20" fillId="0" borderId="10" xfId="0" applyNumberFormat="1" applyFont="1" applyBorder="1" applyAlignment="1">
      <alignment horizontal="right" indent="1"/>
    </xf>
    <xf numFmtId="0" fontId="20" fillId="51" borderId="9" xfId="0" applyFont="1" applyFill="1" applyBorder="1"/>
    <xf numFmtId="0" fontId="20" fillId="51" borderId="10" xfId="0" applyFont="1" applyFill="1" applyBorder="1" applyAlignment="1">
      <alignment horizontal="center"/>
    </xf>
    <xf numFmtId="0" fontId="0" fillId="51" borderId="10" xfId="0" applyFill="1" applyBorder="1"/>
    <xf numFmtId="2" fontId="20" fillId="51" borderId="10" xfId="0" applyNumberFormat="1" applyFont="1" applyFill="1" applyBorder="1" applyAlignment="1">
      <alignment horizontal="right" indent="1"/>
    </xf>
    <xf numFmtId="0" fontId="20" fillId="51" borderId="10" xfId="0" applyFont="1" applyFill="1" applyBorder="1"/>
    <xf numFmtId="0" fontId="20" fillId="51" borderId="9" xfId="0" applyFont="1" applyFill="1" applyBorder="1" applyAlignment="1">
      <alignment horizontal="left"/>
    </xf>
    <xf numFmtId="0" fontId="20" fillId="51" borderId="10" xfId="0" applyFont="1" applyFill="1" applyBorder="1" applyAlignment="1">
      <alignment horizontal="left"/>
    </xf>
    <xf numFmtId="0" fontId="20" fillId="0" borderId="9" xfId="0" applyFont="1" applyBorder="1" applyAlignment="1">
      <alignment horizontal="left" vertical="center"/>
    </xf>
    <xf numFmtId="10" fontId="25" fillId="0" borderId="9" xfId="0" applyNumberFormat="1" applyFont="1" applyBorder="1"/>
    <xf numFmtId="0" fontId="28" fillId="0" borderId="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9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2" fontId="20" fillId="0" borderId="18" xfId="0" applyNumberFormat="1" applyFont="1" applyBorder="1" applyAlignment="1">
      <alignment horizontal="right" indent="1"/>
    </xf>
    <xf numFmtId="2" fontId="20" fillId="0" borderId="19" xfId="0" applyNumberFormat="1" applyFont="1" applyBorder="1" applyAlignment="1">
      <alignment horizontal="right" indent="1"/>
    </xf>
    <xf numFmtId="0" fontId="20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6" fillId="0" borderId="11" xfId="0" applyFont="1" applyBorder="1" applyAlignment="1">
      <alignment vertical="center"/>
    </xf>
    <xf numFmtId="2" fontId="24" fillId="0" borderId="9" xfId="0" applyNumberFormat="1" applyFont="1" applyBorder="1" applyAlignment="1">
      <alignment horizontal="right" vertical="center" indent="1"/>
    </xf>
    <xf numFmtId="0" fontId="18" fillId="0" borderId="17" xfId="0" applyFont="1" applyBorder="1" applyAlignment="1">
      <alignment horizontal="right" vertical="center" indent="1"/>
    </xf>
    <xf numFmtId="4" fontId="20" fillId="0" borderId="9" xfId="0" applyNumberFormat="1" applyFont="1" applyBorder="1" applyAlignment="1">
      <alignment horizontal="right" vertical="center" indent="1"/>
    </xf>
    <xf numFmtId="2" fontId="20" fillId="24" borderId="9" xfId="0" applyNumberFormat="1" applyFont="1" applyFill="1" applyBorder="1" applyAlignment="1">
      <alignment horizontal="right" vertical="center" indent="1"/>
    </xf>
    <xf numFmtId="1" fontId="20" fillId="24" borderId="9" xfId="0" applyNumberFormat="1" applyFont="1" applyFill="1" applyBorder="1" applyAlignment="1">
      <alignment horizontal="right" vertical="center" indent="1"/>
    </xf>
    <xf numFmtId="2" fontId="25" fillId="0" borderId="9" xfId="0" applyNumberFormat="1" applyFont="1" applyBorder="1" applyAlignment="1">
      <alignment horizontal="right" vertical="center" indent="1"/>
    </xf>
    <xf numFmtId="2" fontId="26" fillId="0" borderId="17" xfId="0" applyNumberFormat="1" applyFont="1" applyBorder="1" applyAlignment="1">
      <alignment horizontal="right" vertical="center" wrapText="1" indent="1"/>
    </xf>
    <xf numFmtId="4" fontId="20" fillId="0" borderId="17" xfId="0" applyNumberFormat="1" applyFont="1" applyBorder="1" applyAlignment="1">
      <alignment horizontal="right" vertical="center" indent="1"/>
    </xf>
    <xf numFmtId="2" fontId="0" fillId="0" borderId="17" xfId="0" applyNumberFormat="1" applyBorder="1" applyAlignment="1">
      <alignment horizontal="right" vertical="center" indent="1"/>
    </xf>
    <xf numFmtId="0" fontId="0" fillId="0" borderId="17" xfId="0" applyBorder="1" applyAlignment="1">
      <alignment horizontal="right" vertical="center" indent="1"/>
    </xf>
    <xf numFmtId="180" fontId="20" fillId="0" borderId="15" xfId="0" applyNumberFormat="1" applyFont="1" applyBorder="1" applyAlignment="1">
      <alignment horizontal="right" vertical="center" indent="1"/>
    </xf>
    <xf numFmtId="0" fontId="25" fillId="0" borderId="22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180" fontId="25" fillId="0" borderId="11" xfId="0" applyNumberFormat="1" applyFont="1" applyBorder="1" applyAlignment="1">
      <alignment horizontal="center"/>
    </xf>
    <xf numFmtId="0" fontId="26" fillId="0" borderId="0" xfId="0" applyFont="1" applyAlignment="1">
      <alignment horizontal="right" indent="1"/>
    </xf>
    <xf numFmtId="2" fontId="20" fillId="0" borderId="11" xfId="0" applyNumberFormat="1" applyFont="1" applyBorder="1" applyAlignment="1">
      <alignment horizontal="right" indent="1"/>
    </xf>
    <xf numFmtId="180" fontId="31" fillId="0" borderId="13" xfId="1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 indent="1"/>
    </xf>
    <xf numFmtId="0" fontId="3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left"/>
    </xf>
    <xf numFmtId="0" fontId="27" fillId="0" borderId="11" xfId="0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6" fillId="0" borderId="11" xfId="0" applyFont="1" applyBorder="1"/>
    <xf numFmtId="0" fontId="20" fillId="0" borderId="11" xfId="0" applyFont="1" applyBorder="1" applyAlignment="1">
      <alignment horizontal="right" vertical="center"/>
    </xf>
    <xf numFmtId="1" fontId="18" fillId="0" borderId="11" xfId="0" applyNumberFormat="1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2" fontId="20" fillId="0" borderId="11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" fontId="18" fillId="39" borderId="12" xfId="0" applyNumberFormat="1" applyFont="1" applyFill="1" applyBorder="1" applyAlignment="1">
      <alignment horizontal="center"/>
    </xf>
    <xf numFmtId="2" fontId="18" fillId="40" borderId="14" xfId="0" applyNumberFormat="1" applyFont="1" applyFill="1" applyBorder="1" applyAlignment="1">
      <alignment horizontal="right" indent="1"/>
    </xf>
    <xf numFmtId="0" fontId="20" fillId="44" borderId="12" xfId="0" applyFont="1" applyFill="1" applyBorder="1" applyAlignment="1">
      <alignment horizontal="left" vertical="center"/>
    </xf>
    <xf numFmtId="0" fontId="0" fillId="44" borderId="14" xfId="0" applyFill="1" applyBorder="1" applyAlignment="1">
      <alignment vertical="center"/>
    </xf>
    <xf numFmtId="0" fontId="20" fillId="29" borderId="9" xfId="0" applyFont="1" applyFill="1" applyBorder="1" applyAlignment="1">
      <alignment horizontal="left" vertical="center" wrapText="1"/>
    </xf>
    <xf numFmtId="0" fontId="20" fillId="29" borderId="10" xfId="0" applyFont="1" applyFill="1" applyBorder="1" applyAlignment="1">
      <alignment horizontal="left" vertical="center" wrapText="1"/>
    </xf>
    <xf numFmtId="0" fontId="25" fillId="52" borderId="10" xfId="0" applyFont="1" applyFill="1" applyBorder="1" applyAlignment="1">
      <alignment vertical="center"/>
    </xf>
    <xf numFmtId="0" fontId="25" fillId="53" borderId="10" xfId="0" applyFont="1" applyFill="1" applyBorder="1" applyAlignment="1">
      <alignment horizontal="center" vertical="center"/>
    </xf>
    <xf numFmtId="2" fontId="25" fillId="52" borderId="11" xfId="0" applyNumberFormat="1" applyFont="1" applyFill="1" applyBorder="1" applyAlignment="1">
      <alignment horizontal="left" vertical="center"/>
    </xf>
    <xf numFmtId="0" fontId="20" fillId="27" borderId="11" xfId="0" applyFont="1" applyFill="1" applyBorder="1" applyAlignment="1">
      <alignment vertical="center"/>
    </xf>
    <xf numFmtId="0" fontId="20" fillId="41" borderId="10" xfId="0" applyFont="1" applyFill="1" applyBorder="1" applyAlignment="1">
      <alignment vertical="center"/>
    </xf>
    <xf numFmtId="0" fontId="20" fillId="41" borderId="10" xfId="0" applyFont="1" applyFill="1" applyBorder="1" applyAlignment="1">
      <alignment horizontal="center" vertical="center"/>
    </xf>
    <xf numFmtId="2" fontId="20" fillId="41" borderId="11" xfId="0" applyNumberFormat="1" applyFont="1" applyFill="1" applyBorder="1" applyAlignment="1">
      <alignment horizontal="left" vertical="center"/>
    </xf>
    <xf numFmtId="1" fontId="20" fillId="37" borderId="10" xfId="0" applyNumberFormat="1" applyFont="1" applyFill="1" applyBorder="1" applyAlignment="1">
      <alignment horizontal="right" vertical="center" indent="1"/>
    </xf>
    <xf numFmtId="2" fontId="20" fillId="37" borderId="10" xfId="0" applyNumberFormat="1" applyFont="1" applyFill="1" applyBorder="1" applyAlignment="1">
      <alignment horizontal="right" vertical="center" indent="1"/>
    </xf>
    <xf numFmtId="0" fontId="0" fillId="44" borderId="12" xfId="0" applyFill="1" applyBorder="1"/>
    <xf numFmtId="0" fontId="0" fillId="44" borderId="14" xfId="0" applyFill="1" applyBorder="1"/>
    <xf numFmtId="1" fontId="18" fillId="26" borderId="10" xfId="0" applyNumberFormat="1" applyFont="1" applyFill="1" applyBorder="1"/>
    <xf numFmtId="1" fontId="20" fillId="26" borderId="10" xfId="0" applyNumberFormat="1" applyFont="1" applyFill="1" applyBorder="1"/>
    <xf numFmtId="1" fontId="20" fillId="26" borderId="10" xfId="0" applyNumberFormat="1" applyFont="1" applyFill="1" applyBorder="1" applyAlignment="1">
      <alignment horizontal="center"/>
    </xf>
    <xf numFmtId="0" fontId="20" fillId="26" borderId="11" xfId="0" applyFont="1" applyFill="1" applyBorder="1"/>
    <xf numFmtId="180" fontId="30" fillId="0" borderId="0" xfId="0" applyNumberFormat="1" applyFont="1"/>
    <xf numFmtId="0" fontId="18" fillId="0" borderId="14" xfId="0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 indent="1"/>
    </xf>
    <xf numFmtId="182" fontId="20" fillId="0" borderId="10" xfId="0" applyNumberFormat="1" applyFont="1" applyBorder="1" applyAlignment="1">
      <alignment horizontal="right" vertical="center" indent="1"/>
    </xf>
    <xf numFmtId="191" fontId="20" fillId="0" borderId="10" xfId="0" applyNumberFormat="1" applyFont="1" applyBorder="1" applyAlignment="1">
      <alignment horizontal="right" vertical="center" indent="1"/>
    </xf>
    <xf numFmtId="0" fontId="18" fillId="25" borderId="10" xfId="0" applyFont="1" applyFill="1" applyBorder="1"/>
    <xf numFmtId="0" fontId="18" fillId="25" borderId="10" xfId="0" applyFont="1" applyFill="1" applyBorder="1" applyAlignment="1">
      <alignment horizontal="center"/>
    </xf>
    <xf numFmtId="2" fontId="20" fillId="25" borderId="10" xfId="0" applyNumberFormat="1" applyFont="1" applyFill="1" applyBorder="1" applyAlignment="1">
      <alignment horizontal="right" vertical="center" indent="1"/>
    </xf>
    <xf numFmtId="0" fontId="18" fillId="53" borderId="10" xfId="0" applyFont="1" applyFill="1" applyBorder="1"/>
    <xf numFmtId="0" fontId="18" fillId="53" borderId="10" xfId="0" applyFont="1" applyFill="1" applyBorder="1" applyAlignment="1">
      <alignment horizontal="center"/>
    </xf>
    <xf numFmtId="1" fontId="20" fillId="53" borderId="10" xfId="0" applyNumberFormat="1" applyFont="1" applyFill="1" applyBorder="1" applyAlignment="1">
      <alignment horizontal="right" vertical="center" indent="1"/>
    </xf>
    <xf numFmtId="0" fontId="26" fillId="40" borderId="0" xfId="0" applyFont="1" applyFill="1"/>
    <xf numFmtId="0" fontId="18" fillId="40" borderId="10" xfId="0" applyFont="1" applyFill="1" applyBorder="1" applyAlignment="1">
      <alignment horizontal="left"/>
    </xf>
    <xf numFmtId="1" fontId="20" fillId="40" borderId="10" xfId="0" applyNumberFormat="1" applyFont="1" applyFill="1" applyBorder="1" applyAlignment="1">
      <alignment horizontal="right" vertical="center" indent="1"/>
    </xf>
    <xf numFmtId="0" fontId="18" fillId="40" borderId="10" xfId="0" applyFont="1" applyFill="1" applyBorder="1"/>
    <xf numFmtId="0" fontId="18" fillId="40" borderId="10" xfId="0" applyFont="1" applyFill="1" applyBorder="1" applyAlignment="1">
      <alignment horizontal="center"/>
    </xf>
    <xf numFmtId="2" fontId="20" fillId="40" borderId="10" xfId="0" applyNumberFormat="1" applyFont="1" applyFill="1" applyBorder="1" applyAlignment="1">
      <alignment horizontal="right" vertical="center" indent="1"/>
    </xf>
    <xf numFmtId="0" fontId="20" fillId="37" borderId="11" xfId="0" applyFont="1" applyFill="1" applyBorder="1" applyAlignment="1">
      <alignment vertical="center"/>
    </xf>
    <xf numFmtId="0" fontId="18" fillId="53" borderId="11" xfId="0" applyFont="1" applyFill="1" applyBorder="1" applyAlignment="1">
      <alignment vertical="center"/>
    </xf>
    <xf numFmtId="0" fontId="18" fillId="25" borderId="11" xfId="0" applyFont="1" applyFill="1" applyBorder="1" applyAlignment="1">
      <alignment vertical="center"/>
    </xf>
    <xf numFmtId="9" fontId="20" fillId="29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37" fillId="0" borderId="9" xfId="0" applyFont="1" applyBorder="1" applyAlignment="1">
      <alignment horizontal="right" vertical="center"/>
    </xf>
    <xf numFmtId="0" fontId="28" fillId="0" borderId="10" xfId="0" applyFont="1" applyBorder="1" applyAlignment="1">
      <alignment horizontal="center"/>
    </xf>
    <xf numFmtId="10" fontId="30" fillId="0" borderId="12" xfId="0" applyNumberFormat="1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1" xfId="0" applyFont="1" applyBorder="1" applyAlignment="1">
      <alignment vertical="center"/>
    </xf>
    <xf numFmtId="4" fontId="25" fillId="0" borderId="12" xfId="0" applyNumberFormat="1" applyFont="1" applyBorder="1" applyAlignment="1">
      <alignment horizontal="right" indent="1"/>
    </xf>
    <xf numFmtId="2" fontId="18" fillId="27" borderId="11" xfId="0" applyNumberFormat="1" applyFont="1" applyFill="1" applyBorder="1" applyAlignment="1">
      <alignment vertical="center"/>
    </xf>
    <xf numFmtId="1" fontId="20" fillId="0" borderId="10" xfId="0" applyNumberFormat="1" applyFont="1" applyBorder="1" applyAlignment="1">
      <alignment horizontal="right" vertical="center" indent="1"/>
    </xf>
    <xf numFmtId="0" fontId="18" fillId="31" borderId="10" xfId="0" applyFont="1" applyFill="1" applyBorder="1" applyAlignment="1">
      <alignment horizontal="left"/>
    </xf>
    <xf numFmtId="2" fontId="20" fillId="31" borderId="10" xfId="0" applyNumberFormat="1" applyFont="1" applyFill="1" applyBorder="1" applyAlignment="1">
      <alignment horizontal="right" vertical="center" indent="1"/>
    </xf>
    <xf numFmtId="0" fontId="18" fillId="0" borderId="10" xfId="0" applyFont="1" applyBorder="1" applyAlignment="1">
      <alignment horizontal="left"/>
    </xf>
    <xf numFmtId="2" fontId="18" fillId="0" borderId="11" xfId="0" applyNumberFormat="1" applyFont="1" applyBorder="1" applyAlignment="1">
      <alignment horizontal="left"/>
    </xf>
    <xf numFmtId="0" fontId="25" fillId="0" borderId="12" xfId="0" applyFont="1" applyBorder="1"/>
    <xf numFmtId="0" fontId="25" fillId="25" borderId="9" xfId="0" applyFont="1" applyFill="1" applyBorder="1"/>
    <xf numFmtId="0" fontId="25" fillId="25" borderId="10" xfId="0" applyFont="1" applyFill="1" applyBorder="1"/>
    <xf numFmtId="0" fontId="18" fillId="25" borderId="10" xfId="0" applyFont="1" applyFill="1" applyBorder="1" applyAlignment="1">
      <alignment vertical="center"/>
    </xf>
    <xf numFmtId="0" fontId="18" fillId="25" borderId="14" xfId="0" applyFont="1" applyFill="1" applyBorder="1" applyAlignment="1">
      <alignment horizontal="center" vertical="center"/>
    </xf>
    <xf numFmtId="4" fontId="18" fillId="25" borderId="10" xfId="0" applyNumberFormat="1" applyFont="1" applyFill="1" applyBorder="1" applyAlignment="1">
      <alignment horizontal="right" vertical="center" indent="1"/>
    </xf>
    <xf numFmtId="2" fontId="18" fillId="0" borderId="14" xfId="0" applyNumberFormat="1" applyFont="1" applyBorder="1" applyAlignment="1">
      <alignment horizontal="right" indent="1"/>
    </xf>
    <xf numFmtId="2" fontId="18" fillId="0" borderId="10" xfId="0" applyNumberFormat="1" applyFont="1" applyBorder="1" applyAlignment="1">
      <alignment horizontal="right" indent="1"/>
    </xf>
    <xf numFmtId="2" fontId="18" fillId="0" borderId="10" xfId="0" applyNumberFormat="1" applyFont="1" applyBorder="1" applyAlignment="1">
      <alignment horizontal="right" vertical="center" indent="1"/>
    </xf>
    <xf numFmtId="9" fontId="18" fillId="0" borderId="10" xfId="1" applyFont="1" applyBorder="1" applyAlignment="1">
      <alignment horizontal="right" indent="1"/>
    </xf>
    <xf numFmtId="1" fontId="18" fillId="0" borderId="10" xfId="0" applyNumberFormat="1" applyFont="1" applyBorder="1" applyAlignment="1">
      <alignment horizontal="right" indent="1"/>
    </xf>
    <xf numFmtId="3" fontId="20" fillId="0" borderId="10" xfId="0" applyNumberFormat="1" applyFont="1" applyBorder="1" applyAlignment="1">
      <alignment horizontal="right" vertical="center" indent="1"/>
    </xf>
    <xf numFmtId="3" fontId="18" fillId="0" borderId="10" xfId="0" applyNumberFormat="1" applyFont="1" applyBorder="1" applyAlignment="1">
      <alignment horizontal="right" indent="1"/>
    </xf>
    <xf numFmtId="180" fontId="20" fillId="0" borderId="10" xfId="0" applyNumberFormat="1" applyFont="1" applyBorder="1" applyAlignment="1">
      <alignment horizontal="right" vertical="center" indent="1"/>
    </xf>
    <xf numFmtId="9" fontId="18" fillId="0" borderId="10" xfId="0" applyNumberFormat="1" applyFont="1" applyBorder="1" applyAlignment="1">
      <alignment horizontal="right" indent="1"/>
    </xf>
    <xf numFmtId="187" fontId="25" fillId="0" borderId="10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horizontal="right" indent="1"/>
    </xf>
    <xf numFmtId="2" fontId="25" fillId="0" borderId="10" xfId="0" applyNumberFormat="1" applyFont="1" applyBorder="1" applyAlignment="1">
      <alignment horizontal="right" vertical="center" indent="1"/>
    </xf>
    <xf numFmtId="4" fontId="20" fillId="0" borderId="10" xfId="0" applyNumberFormat="1" applyFont="1" applyBorder="1" applyAlignment="1">
      <alignment horizontal="right" vertical="center" indent="1"/>
    </xf>
    <xf numFmtId="0" fontId="29" fillId="0" borderId="0" xfId="0" applyFont="1" applyAlignment="1">
      <alignment horizontal="right" vertical="center" indent="1"/>
    </xf>
    <xf numFmtId="9" fontId="20" fillId="0" borderId="10" xfId="1" applyFont="1" applyBorder="1" applyAlignment="1" applyProtection="1">
      <alignment horizontal="right" vertical="center" indent="1"/>
    </xf>
    <xf numFmtId="182" fontId="20" fillId="0" borderId="10" xfId="1" applyNumberFormat="1" applyFont="1" applyBorder="1" applyAlignment="1" applyProtection="1">
      <alignment horizontal="right" vertical="center" indent="1"/>
    </xf>
    <xf numFmtId="1" fontId="25" fillId="0" borderId="10" xfId="0" applyNumberFormat="1" applyFont="1" applyBorder="1" applyAlignment="1">
      <alignment horizontal="right" vertical="center" indent="1"/>
    </xf>
    <xf numFmtId="2" fontId="20" fillId="28" borderId="10" xfId="0" applyNumberFormat="1" applyFont="1" applyFill="1" applyBorder="1" applyAlignment="1">
      <alignment horizontal="right" vertical="center" indent="1"/>
    </xf>
    <xf numFmtId="1" fontId="20" fillId="41" borderId="10" xfId="0" applyNumberFormat="1" applyFont="1" applyFill="1" applyBorder="1" applyAlignment="1">
      <alignment horizontal="right" vertical="center" indent="1"/>
    </xf>
    <xf numFmtId="1" fontId="20" fillId="28" borderId="10" xfId="0" applyNumberFormat="1" applyFont="1" applyFill="1" applyBorder="1" applyAlignment="1">
      <alignment horizontal="right" vertical="center" indent="1"/>
    </xf>
    <xf numFmtId="2" fontId="25" fillId="32" borderId="10" xfId="0" applyNumberFormat="1" applyFont="1" applyFill="1" applyBorder="1" applyAlignment="1">
      <alignment horizontal="right" vertical="center" indent="1"/>
    </xf>
    <xf numFmtId="4" fontId="20" fillId="34" borderId="10" xfId="0" applyNumberFormat="1" applyFont="1" applyFill="1" applyBorder="1" applyAlignment="1">
      <alignment horizontal="right" vertical="center" indent="1"/>
    </xf>
    <xf numFmtId="2" fontId="20" fillId="42" borderId="10" xfId="0" applyNumberFormat="1" applyFont="1" applyFill="1" applyBorder="1" applyAlignment="1">
      <alignment horizontal="right" vertical="center" indent="1"/>
    </xf>
    <xf numFmtId="1" fontId="20" fillId="38" borderId="10" xfId="0" applyNumberFormat="1" applyFont="1" applyFill="1" applyBorder="1" applyAlignment="1">
      <alignment horizontal="right" vertical="center" indent="1"/>
    </xf>
    <xf numFmtId="9" fontId="20" fillId="38" borderId="10" xfId="1" applyFont="1" applyFill="1" applyBorder="1" applyAlignment="1" applyProtection="1">
      <alignment horizontal="right" vertical="center" indent="1"/>
    </xf>
    <xf numFmtId="182" fontId="20" fillId="40" borderId="10" xfId="1" applyNumberFormat="1" applyFont="1" applyFill="1" applyBorder="1" applyAlignment="1" applyProtection="1">
      <alignment horizontal="right" vertical="center" indent="1"/>
    </xf>
    <xf numFmtId="3" fontId="20" fillId="37" borderId="10" xfId="0" applyNumberFormat="1" applyFont="1" applyFill="1" applyBorder="1" applyAlignment="1">
      <alignment horizontal="right" vertical="center" indent="1"/>
    </xf>
    <xf numFmtId="1" fontId="25" fillId="52" borderId="10" xfId="0" applyNumberFormat="1" applyFont="1" applyFill="1" applyBorder="1" applyAlignment="1">
      <alignment horizontal="right" vertical="center" indent="1"/>
    </xf>
    <xf numFmtId="3" fontId="20" fillId="40" borderId="10" xfId="0" applyNumberFormat="1" applyFont="1" applyFill="1" applyBorder="1" applyAlignment="1">
      <alignment horizontal="right" vertical="center" indent="1"/>
    </xf>
    <xf numFmtId="0" fontId="40" fillId="0" borderId="18" xfId="0" applyFont="1" applyBorder="1"/>
    <xf numFmtId="0" fontId="40" fillId="0" borderId="21" xfId="0" applyFont="1" applyBorder="1"/>
    <xf numFmtId="0" fontId="20" fillId="0" borderId="0" xfId="0" quotePrefix="1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/>
    <xf numFmtId="0" fontId="32" fillId="0" borderId="0" xfId="0" applyFont="1" applyAlignment="1">
      <alignment horizontal="center" vertical="center"/>
    </xf>
    <xf numFmtId="0" fontId="20" fillId="44" borderId="12" xfId="0" applyFont="1" applyFill="1" applyBorder="1" applyAlignment="1">
      <alignment horizontal="left" vertical="center"/>
    </xf>
    <xf numFmtId="0" fontId="0" fillId="44" borderId="12" xfId="0" applyFill="1" applyBorder="1"/>
    <xf numFmtId="0" fontId="0" fillId="44" borderId="14" xfId="0" applyFill="1" applyBorder="1" applyAlignment="1">
      <alignment vertical="center"/>
    </xf>
    <xf numFmtId="0" fontId="0" fillId="44" borderId="14" xfId="0" applyFill="1" applyBorder="1"/>
    <xf numFmtId="0" fontId="2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38" fillId="0" borderId="0" xfId="0" applyFont="1" applyAlignment="1">
      <alignment wrapText="1"/>
    </xf>
  </cellXfs>
  <cellStyles count="1348">
    <cellStyle name="=C:\WINNT35\SYSTEM32\COMMAND.COM" xfId="468" xr:uid="{00000000-0005-0000-0000-0000D8010000}"/>
    <cellStyle name="20% - Accent1" xfId="2" xr:uid="{00000000-0005-0000-0000-000006000000}"/>
    <cellStyle name="20% - Accent1 10" xfId="3" xr:uid="{00000000-0005-0000-0000-000007000000}"/>
    <cellStyle name="20% - Accent1 11" xfId="4" xr:uid="{00000000-0005-0000-0000-000008000000}"/>
    <cellStyle name="20% - Accent1 12" xfId="5" xr:uid="{00000000-0005-0000-0000-000009000000}"/>
    <cellStyle name="20% - Accent1 13" xfId="6" xr:uid="{00000000-0005-0000-0000-00000A000000}"/>
    <cellStyle name="20% - Accent1 14" xfId="7" xr:uid="{00000000-0005-0000-0000-00000B000000}"/>
    <cellStyle name="20% - Accent1 15" xfId="8" xr:uid="{00000000-0005-0000-0000-00000C000000}"/>
    <cellStyle name="20% - Accent1 16" xfId="9" xr:uid="{00000000-0005-0000-0000-00000D000000}"/>
    <cellStyle name="20% - Accent1 17" xfId="10" xr:uid="{00000000-0005-0000-0000-00000E000000}"/>
    <cellStyle name="20% - Accent1 18" xfId="11" xr:uid="{00000000-0005-0000-0000-00000F000000}"/>
    <cellStyle name="20% - Accent1 19" xfId="12" xr:uid="{00000000-0005-0000-0000-000010000000}"/>
    <cellStyle name="20% - Accent1 2" xfId="13" xr:uid="{00000000-0005-0000-0000-000011000000}"/>
    <cellStyle name="20% - Accent1 20" xfId="14" xr:uid="{00000000-0005-0000-0000-000012000000}"/>
    <cellStyle name="20% - Accent1 21" xfId="15" xr:uid="{00000000-0005-0000-0000-000013000000}"/>
    <cellStyle name="20% - Accent1 22" xfId="16" xr:uid="{00000000-0005-0000-0000-000014000000}"/>
    <cellStyle name="20% - Accent1 23" xfId="17" xr:uid="{00000000-0005-0000-0000-000015000000}"/>
    <cellStyle name="20% - Accent1 24" xfId="18" xr:uid="{00000000-0005-0000-0000-000016000000}"/>
    <cellStyle name="20% - Accent1 25" xfId="19" xr:uid="{00000000-0005-0000-0000-000017000000}"/>
    <cellStyle name="20% - Accent1 26" xfId="20" xr:uid="{00000000-0005-0000-0000-000018000000}"/>
    <cellStyle name="20% - Accent1 27" xfId="21" xr:uid="{00000000-0005-0000-0000-000019000000}"/>
    <cellStyle name="20% - Accent1 28" xfId="22" xr:uid="{00000000-0005-0000-0000-00001A000000}"/>
    <cellStyle name="20% - Accent1 29" xfId="23" xr:uid="{00000000-0005-0000-0000-00001B000000}"/>
    <cellStyle name="20% - Accent1 3" xfId="24" xr:uid="{00000000-0005-0000-0000-00001C000000}"/>
    <cellStyle name="20% - Accent1 4" xfId="25" xr:uid="{00000000-0005-0000-0000-00001D000000}"/>
    <cellStyle name="20% - Accent1 5" xfId="26" xr:uid="{00000000-0005-0000-0000-00001E000000}"/>
    <cellStyle name="20% - Accent1 6" xfId="27" xr:uid="{00000000-0005-0000-0000-00001F000000}"/>
    <cellStyle name="20% - Accent1 7" xfId="28" xr:uid="{00000000-0005-0000-0000-000020000000}"/>
    <cellStyle name="20% - Accent1 8" xfId="29" xr:uid="{00000000-0005-0000-0000-000021000000}"/>
    <cellStyle name="20% - Accent1 9" xfId="30" xr:uid="{00000000-0005-0000-0000-000022000000}"/>
    <cellStyle name="20% - Accent2" xfId="31" xr:uid="{00000000-0005-0000-0000-000023000000}"/>
    <cellStyle name="20% - Accent2 10" xfId="32" xr:uid="{00000000-0005-0000-0000-000024000000}"/>
    <cellStyle name="20% - Accent2 11" xfId="33" xr:uid="{00000000-0005-0000-0000-000025000000}"/>
    <cellStyle name="20% - Accent2 12" xfId="34" xr:uid="{00000000-0005-0000-0000-000026000000}"/>
    <cellStyle name="20% - Accent2 13" xfId="35" xr:uid="{00000000-0005-0000-0000-000027000000}"/>
    <cellStyle name="20% - Accent2 14" xfId="36" xr:uid="{00000000-0005-0000-0000-000028000000}"/>
    <cellStyle name="20% - Accent2 15" xfId="37" xr:uid="{00000000-0005-0000-0000-000029000000}"/>
    <cellStyle name="20% - Accent2 16" xfId="38" xr:uid="{00000000-0005-0000-0000-00002A000000}"/>
    <cellStyle name="20% - Accent2 17" xfId="39" xr:uid="{00000000-0005-0000-0000-00002B000000}"/>
    <cellStyle name="20% - Accent2 18" xfId="40" xr:uid="{00000000-0005-0000-0000-00002C000000}"/>
    <cellStyle name="20% - Accent2 19" xfId="41" xr:uid="{00000000-0005-0000-0000-00002D000000}"/>
    <cellStyle name="20% - Accent2 2" xfId="42" xr:uid="{00000000-0005-0000-0000-00002E000000}"/>
    <cellStyle name="20% - Accent2 20" xfId="43" xr:uid="{00000000-0005-0000-0000-00002F000000}"/>
    <cellStyle name="20% - Accent2 21" xfId="44" xr:uid="{00000000-0005-0000-0000-000030000000}"/>
    <cellStyle name="20% - Accent2 22" xfId="45" xr:uid="{00000000-0005-0000-0000-000031000000}"/>
    <cellStyle name="20% - Accent2 23" xfId="46" xr:uid="{00000000-0005-0000-0000-000032000000}"/>
    <cellStyle name="20% - Accent2 24" xfId="47" xr:uid="{00000000-0005-0000-0000-000033000000}"/>
    <cellStyle name="20% - Accent2 25" xfId="48" xr:uid="{00000000-0005-0000-0000-000034000000}"/>
    <cellStyle name="20% - Accent2 26" xfId="49" xr:uid="{00000000-0005-0000-0000-000035000000}"/>
    <cellStyle name="20% - Accent2 27" xfId="50" xr:uid="{00000000-0005-0000-0000-000036000000}"/>
    <cellStyle name="20% - Accent2 28" xfId="51" xr:uid="{00000000-0005-0000-0000-000037000000}"/>
    <cellStyle name="20% - Accent2 29" xfId="52" xr:uid="{00000000-0005-0000-0000-000038000000}"/>
    <cellStyle name="20% - Accent2 3" xfId="53" xr:uid="{00000000-0005-0000-0000-000039000000}"/>
    <cellStyle name="20% - Accent2 4" xfId="54" xr:uid="{00000000-0005-0000-0000-00003A000000}"/>
    <cellStyle name="20% - Accent2 5" xfId="55" xr:uid="{00000000-0005-0000-0000-00003B000000}"/>
    <cellStyle name="20% - Accent2 6" xfId="56" xr:uid="{00000000-0005-0000-0000-00003C000000}"/>
    <cellStyle name="20% - Accent2 7" xfId="57" xr:uid="{00000000-0005-0000-0000-00003D000000}"/>
    <cellStyle name="20% - Accent2 8" xfId="58" xr:uid="{00000000-0005-0000-0000-00003E000000}"/>
    <cellStyle name="20% - Accent2 9" xfId="59" xr:uid="{00000000-0005-0000-0000-00003F000000}"/>
    <cellStyle name="20% - Accent3" xfId="60" xr:uid="{00000000-0005-0000-0000-000040000000}"/>
    <cellStyle name="20% - Accent3 10" xfId="61" xr:uid="{00000000-0005-0000-0000-000041000000}"/>
    <cellStyle name="20% - Accent3 11" xfId="62" xr:uid="{00000000-0005-0000-0000-000042000000}"/>
    <cellStyle name="20% - Accent3 12" xfId="63" xr:uid="{00000000-0005-0000-0000-000043000000}"/>
    <cellStyle name="20% - Accent3 13" xfId="64" xr:uid="{00000000-0005-0000-0000-000044000000}"/>
    <cellStyle name="20% - Accent3 14" xfId="65" xr:uid="{00000000-0005-0000-0000-000045000000}"/>
    <cellStyle name="20% - Accent3 15" xfId="66" xr:uid="{00000000-0005-0000-0000-000046000000}"/>
    <cellStyle name="20% - Accent3 16" xfId="67" xr:uid="{00000000-0005-0000-0000-000047000000}"/>
    <cellStyle name="20% - Accent3 17" xfId="68" xr:uid="{00000000-0005-0000-0000-000048000000}"/>
    <cellStyle name="20% - Accent3 18" xfId="69" xr:uid="{00000000-0005-0000-0000-000049000000}"/>
    <cellStyle name="20% - Accent3 19" xfId="70" xr:uid="{00000000-0005-0000-0000-00004A000000}"/>
    <cellStyle name="20% - Accent3 2" xfId="71" xr:uid="{00000000-0005-0000-0000-00004B000000}"/>
    <cellStyle name="20% - Accent3 20" xfId="72" xr:uid="{00000000-0005-0000-0000-00004C000000}"/>
    <cellStyle name="20% - Accent3 21" xfId="73" xr:uid="{00000000-0005-0000-0000-00004D000000}"/>
    <cellStyle name="20% - Accent3 22" xfId="74" xr:uid="{00000000-0005-0000-0000-00004E000000}"/>
    <cellStyle name="20% - Accent3 23" xfId="75" xr:uid="{00000000-0005-0000-0000-00004F000000}"/>
    <cellStyle name="20% - Accent3 24" xfId="76" xr:uid="{00000000-0005-0000-0000-000050000000}"/>
    <cellStyle name="20% - Accent3 25" xfId="77" xr:uid="{00000000-0005-0000-0000-000051000000}"/>
    <cellStyle name="20% - Accent3 26" xfId="78" xr:uid="{00000000-0005-0000-0000-000052000000}"/>
    <cellStyle name="20% - Accent3 27" xfId="79" xr:uid="{00000000-0005-0000-0000-000053000000}"/>
    <cellStyle name="20% - Accent3 28" xfId="80" xr:uid="{00000000-0005-0000-0000-000054000000}"/>
    <cellStyle name="20% - Accent3 29" xfId="81" xr:uid="{00000000-0005-0000-0000-000055000000}"/>
    <cellStyle name="20% - Accent3 3" xfId="82" xr:uid="{00000000-0005-0000-0000-000056000000}"/>
    <cellStyle name="20% - Accent3 4" xfId="83" xr:uid="{00000000-0005-0000-0000-000057000000}"/>
    <cellStyle name="20% - Accent3 5" xfId="84" xr:uid="{00000000-0005-0000-0000-000058000000}"/>
    <cellStyle name="20% - Accent3 6" xfId="85" xr:uid="{00000000-0005-0000-0000-000059000000}"/>
    <cellStyle name="20% - Accent3 7" xfId="86" xr:uid="{00000000-0005-0000-0000-00005A000000}"/>
    <cellStyle name="20% - Accent3 8" xfId="87" xr:uid="{00000000-0005-0000-0000-00005B000000}"/>
    <cellStyle name="20% - Accent3 9" xfId="88" xr:uid="{00000000-0005-0000-0000-00005C000000}"/>
    <cellStyle name="20% - Accent4" xfId="89" xr:uid="{00000000-0005-0000-0000-00005D000000}"/>
    <cellStyle name="20% - Accent4 10" xfId="90" xr:uid="{00000000-0005-0000-0000-00005E000000}"/>
    <cellStyle name="20% - Accent4 11" xfId="91" xr:uid="{00000000-0005-0000-0000-00005F000000}"/>
    <cellStyle name="20% - Accent4 12" xfId="92" xr:uid="{00000000-0005-0000-0000-000060000000}"/>
    <cellStyle name="20% - Accent4 13" xfId="93" xr:uid="{00000000-0005-0000-0000-000061000000}"/>
    <cellStyle name="20% - Accent4 14" xfId="94" xr:uid="{00000000-0005-0000-0000-000062000000}"/>
    <cellStyle name="20% - Accent4 15" xfId="95" xr:uid="{00000000-0005-0000-0000-000063000000}"/>
    <cellStyle name="20% - Accent4 16" xfId="96" xr:uid="{00000000-0005-0000-0000-000064000000}"/>
    <cellStyle name="20% - Accent4 17" xfId="97" xr:uid="{00000000-0005-0000-0000-000065000000}"/>
    <cellStyle name="20% - Accent4 18" xfId="98" xr:uid="{00000000-0005-0000-0000-000066000000}"/>
    <cellStyle name="20% - Accent4 19" xfId="99" xr:uid="{00000000-0005-0000-0000-000067000000}"/>
    <cellStyle name="20% - Accent4 2" xfId="100" xr:uid="{00000000-0005-0000-0000-000068000000}"/>
    <cellStyle name="20% - Accent4 20" xfId="101" xr:uid="{00000000-0005-0000-0000-000069000000}"/>
    <cellStyle name="20% - Accent4 21" xfId="102" xr:uid="{00000000-0005-0000-0000-00006A000000}"/>
    <cellStyle name="20% - Accent4 22" xfId="103" xr:uid="{00000000-0005-0000-0000-00006B000000}"/>
    <cellStyle name="20% - Accent4 23" xfId="104" xr:uid="{00000000-0005-0000-0000-00006C000000}"/>
    <cellStyle name="20% - Accent4 24" xfId="105" xr:uid="{00000000-0005-0000-0000-00006D000000}"/>
    <cellStyle name="20% - Accent4 25" xfId="106" xr:uid="{00000000-0005-0000-0000-00006E000000}"/>
    <cellStyle name="20% - Accent4 26" xfId="107" xr:uid="{00000000-0005-0000-0000-00006F000000}"/>
    <cellStyle name="20% - Accent4 27" xfId="108" xr:uid="{00000000-0005-0000-0000-000070000000}"/>
    <cellStyle name="20% - Accent4 28" xfId="109" xr:uid="{00000000-0005-0000-0000-000071000000}"/>
    <cellStyle name="20% - Accent4 29" xfId="110" xr:uid="{00000000-0005-0000-0000-000072000000}"/>
    <cellStyle name="20% - Accent4 3" xfId="111" xr:uid="{00000000-0005-0000-0000-000073000000}"/>
    <cellStyle name="20% - Accent4 4" xfId="112" xr:uid="{00000000-0005-0000-0000-000074000000}"/>
    <cellStyle name="20% - Accent4 5" xfId="113" xr:uid="{00000000-0005-0000-0000-000075000000}"/>
    <cellStyle name="20% - Accent4 6" xfId="114" xr:uid="{00000000-0005-0000-0000-000076000000}"/>
    <cellStyle name="20% - Accent4 7" xfId="115" xr:uid="{00000000-0005-0000-0000-000077000000}"/>
    <cellStyle name="20% - Accent4 8" xfId="116" xr:uid="{00000000-0005-0000-0000-000078000000}"/>
    <cellStyle name="20% - Accent4 9" xfId="117" xr:uid="{00000000-0005-0000-0000-000079000000}"/>
    <cellStyle name="20% - Accent5" xfId="118" xr:uid="{00000000-0005-0000-0000-00007A000000}"/>
    <cellStyle name="20% - Accent6" xfId="119" xr:uid="{00000000-0005-0000-0000-00007B000000}"/>
    <cellStyle name="20% - Accent6 10" xfId="120" xr:uid="{00000000-0005-0000-0000-00007C000000}"/>
    <cellStyle name="20% - Accent6 11" xfId="121" xr:uid="{00000000-0005-0000-0000-00007D000000}"/>
    <cellStyle name="20% - Accent6 12" xfId="122" xr:uid="{00000000-0005-0000-0000-00007E000000}"/>
    <cellStyle name="20% - Accent6 13" xfId="123" xr:uid="{00000000-0005-0000-0000-00007F000000}"/>
    <cellStyle name="20% - Accent6 14" xfId="124" xr:uid="{00000000-0005-0000-0000-000080000000}"/>
    <cellStyle name="20% - Accent6 15" xfId="125" xr:uid="{00000000-0005-0000-0000-000081000000}"/>
    <cellStyle name="20% - Accent6 16" xfId="126" xr:uid="{00000000-0005-0000-0000-000082000000}"/>
    <cellStyle name="20% - Accent6 17" xfId="127" xr:uid="{00000000-0005-0000-0000-000083000000}"/>
    <cellStyle name="20% - Accent6 18" xfId="128" xr:uid="{00000000-0005-0000-0000-000084000000}"/>
    <cellStyle name="20% - Accent6 19" xfId="129" xr:uid="{00000000-0005-0000-0000-000085000000}"/>
    <cellStyle name="20% - Accent6 2" xfId="130" xr:uid="{00000000-0005-0000-0000-000086000000}"/>
    <cellStyle name="20% - Accent6 20" xfId="131" xr:uid="{00000000-0005-0000-0000-000087000000}"/>
    <cellStyle name="20% - Accent6 21" xfId="132" xr:uid="{00000000-0005-0000-0000-000088000000}"/>
    <cellStyle name="20% - Accent6 22" xfId="133" xr:uid="{00000000-0005-0000-0000-000089000000}"/>
    <cellStyle name="20% - Accent6 23" xfId="134" xr:uid="{00000000-0005-0000-0000-00008A000000}"/>
    <cellStyle name="20% - Accent6 24" xfId="135" xr:uid="{00000000-0005-0000-0000-00008B000000}"/>
    <cellStyle name="20% - Accent6 25" xfId="136" xr:uid="{00000000-0005-0000-0000-00008C000000}"/>
    <cellStyle name="20% - Accent6 26" xfId="137" xr:uid="{00000000-0005-0000-0000-00008D000000}"/>
    <cellStyle name="20% - Accent6 27" xfId="138" xr:uid="{00000000-0005-0000-0000-00008E000000}"/>
    <cellStyle name="20% - Accent6 28" xfId="139" xr:uid="{00000000-0005-0000-0000-00008F000000}"/>
    <cellStyle name="20% - Accent6 29" xfId="140" xr:uid="{00000000-0005-0000-0000-000090000000}"/>
    <cellStyle name="20% - Accent6 3" xfId="141" xr:uid="{00000000-0005-0000-0000-000091000000}"/>
    <cellStyle name="20% - Accent6 4" xfId="142" xr:uid="{00000000-0005-0000-0000-000092000000}"/>
    <cellStyle name="20% - Accent6 5" xfId="143" xr:uid="{00000000-0005-0000-0000-000093000000}"/>
    <cellStyle name="20% - Accent6 6" xfId="144" xr:uid="{00000000-0005-0000-0000-000094000000}"/>
    <cellStyle name="20% - Accent6 7" xfId="145" xr:uid="{00000000-0005-0000-0000-000095000000}"/>
    <cellStyle name="20% - Accent6 8" xfId="146" xr:uid="{00000000-0005-0000-0000-000096000000}"/>
    <cellStyle name="20% - Accent6 9" xfId="147" xr:uid="{00000000-0005-0000-0000-000097000000}"/>
    <cellStyle name="40% - Accent1" xfId="148" xr:uid="{00000000-0005-0000-0000-000098000000}"/>
    <cellStyle name="40% - Accent1 10" xfId="149" xr:uid="{00000000-0005-0000-0000-000099000000}"/>
    <cellStyle name="40% - Accent1 11" xfId="150" xr:uid="{00000000-0005-0000-0000-00009A000000}"/>
    <cellStyle name="40% - Accent1 12" xfId="151" xr:uid="{00000000-0005-0000-0000-00009B000000}"/>
    <cellStyle name="40% - Accent1 13" xfId="152" xr:uid="{00000000-0005-0000-0000-00009C000000}"/>
    <cellStyle name="40% - Accent1 14" xfId="153" xr:uid="{00000000-0005-0000-0000-00009D000000}"/>
    <cellStyle name="40% - Accent1 15" xfId="154" xr:uid="{00000000-0005-0000-0000-00009E000000}"/>
    <cellStyle name="40% - Accent1 16" xfId="155" xr:uid="{00000000-0005-0000-0000-00009F000000}"/>
    <cellStyle name="40% - Accent1 17" xfId="156" xr:uid="{00000000-0005-0000-0000-0000A0000000}"/>
    <cellStyle name="40% - Accent1 18" xfId="157" xr:uid="{00000000-0005-0000-0000-0000A1000000}"/>
    <cellStyle name="40% - Accent1 19" xfId="158" xr:uid="{00000000-0005-0000-0000-0000A2000000}"/>
    <cellStyle name="40% - Accent1 2" xfId="159" xr:uid="{00000000-0005-0000-0000-0000A3000000}"/>
    <cellStyle name="40% - Accent1 20" xfId="160" xr:uid="{00000000-0005-0000-0000-0000A4000000}"/>
    <cellStyle name="40% - Accent1 21" xfId="161" xr:uid="{00000000-0005-0000-0000-0000A5000000}"/>
    <cellStyle name="40% - Accent1 22" xfId="162" xr:uid="{00000000-0005-0000-0000-0000A6000000}"/>
    <cellStyle name="40% - Accent1 23" xfId="163" xr:uid="{00000000-0005-0000-0000-0000A7000000}"/>
    <cellStyle name="40% - Accent1 24" xfId="164" xr:uid="{00000000-0005-0000-0000-0000A8000000}"/>
    <cellStyle name="40% - Accent1 25" xfId="165" xr:uid="{00000000-0005-0000-0000-0000A9000000}"/>
    <cellStyle name="40% - Accent1 26" xfId="166" xr:uid="{00000000-0005-0000-0000-0000AA000000}"/>
    <cellStyle name="40% - Accent1 27" xfId="167" xr:uid="{00000000-0005-0000-0000-0000AB000000}"/>
    <cellStyle name="40% - Accent1 28" xfId="168" xr:uid="{00000000-0005-0000-0000-0000AC000000}"/>
    <cellStyle name="40% - Accent1 29" xfId="169" xr:uid="{00000000-0005-0000-0000-0000AD000000}"/>
    <cellStyle name="40% - Accent1 3" xfId="170" xr:uid="{00000000-0005-0000-0000-0000AE000000}"/>
    <cellStyle name="40% - Accent1 4" xfId="171" xr:uid="{00000000-0005-0000-0000-0000AF000000}"/>
    <cellStyle name="40% - Accent1 5" xfId="172" xr:uid="{00000000-0005-0000-0000-0000B0000000}"/>
    <cellStyle name="40% - Accent1 6" xfId="173" xr:uid="{00000000-0005-0000-0000-0000B1000000}"/>
    <cellStyle name="40% - Accent1 7" xfId="174" xr:uid="{00000000-0005-0000-0000-0000B2000000}"/>
    <cellStyle name="40% - Accent1 8" xfId="175" xr:uid="{00000000-0005-0000-0000-0000B3000000}"/>
    <cellStyle name="40% - Accent1 9" xfId="176" xr:uid="{00000000-0005-0000-0000-0000B4000000}"/>
    <cellStyle name="40% - Accent2" xfId="177" xr:uid="{00000000-0005-0000-0000-0000B5000000}"/>
    <cellStyle name="40% - Accent3" xfId="178" xr:uid="{00000000-0005-0000-0000-0000B6000000}"/>
    <cellStyle name="40% - Accent3 10" xfId="179" xr:uid="{00000000-0005-0000-0000-0000B7000000}"/>
    <cellStyle name="40% - Accent3 11" xfId="180" xr:uid="{00000000-0005-0000-0000-0000B8000000}"/>
    <cellStyle name="40% - Accent3 12" xfId="181" xr:uid="{00000000-0005-0000-0000-0000B9000000}"/>
    <cellStyle name="40% - Accent3 13" xfId="182" xr:uid="{00000000-0005-0000-0000-0000BA000000}"/>
    <cellStyle name="40% - Accent3 14" xfId="183" xr:uid="{00000000-0005-0000-0000-0000BB000000}"/>
    <cellStyle name="40% - Accent3 15" xfId="184" xr:uid="{00000000-0005-0000-0000-0000BC000000}"/>
    <cellStyle name="40% - Accent3 16" xfId="185" xr:uid="{00000000-0005-0000-0000-0000BD000000}"/>
    <cellStyle name="40% - Accent3 17" xfId="186" xr:uid="{00000000-0005-0000-0000-0000BE000000}"/>
    <cellStyle name="40% - Accent3 18" xfId="187" xr:uid="{00000000-0005-0000-0000-0000BF000000}"/>
    <cellStyle name="40% - Accent3 19" xfId="188" xr:uid="{00000000-0005-0000-0000-0000C0000000}"/>
    <cellStyle name="40% - Accent3 2" xfId="189" xr:uid="{00000000-0005-0000-0000-0000C1000000}"/>
    <cellStyle name="40% - Accent3 20" xfId="190" xr:uid="{00000000-0005-0000-0000-0000C2000000}"/>
    <cellStyle name="40% - Accent3 21" xfId="191" xr:uid="{00000000-0005-0000-0000-0000C3000000}"/>
    <cellStyle name="40% - Accent3 22" xfId="192" xr:uid="{00000000-0005-0000-0000-0000C4000000}"/>
    <cellStyle name="40% - Accent3 23" xfId="193" xr:uid="{00000000-0005-0000-0000-0000C5000000}"/>
    <cellStyle name="40% - Accent3 24" xfId="194" xr:uid="{00000000-0005-0000-0000-0000C6000000}"/>
    <cellStyle name="40% - Accent3 25" xfId="195" xr:uid="{00000000-0005-0000-0000-0000C7000000}"/>
    <cellStyle name="40% - Accent3 26" xfId="196" xr:uid="{00000000-0005-0000-0000-0000C8000000}"/>
    <cellStyle name="40% - Accent3 27" xfId="197" xr:uid="{00000000-0005-0000-0000-0000C9000000}"/>
    <cellStyle name="40% - Accent3 28" xfId="198" xr:uid="{00000000-0005-0000-0000-0000CA000000}"/>
    <cellStyle name="40% - Accent3 29" xfId="199" xr:uid="{00000000-0005-0000-0000-0000CB000000}"/>
    <cellStyle name="40% - Accent3 3" xfId="200" xr:uid="{00000000-0005-0000-0000-0000CC000000}"/>
    <cellStyle name="40% - Accent3 4" xfId="201" xr:uid="{00000000-0005-0000-0000-0000CD000000}"/>
    <cellStyle name="40% - Accent3 5" xfId="202" xr:uid="{00000000-0005-0000-0000-0000CE000000}"/>
    <cellStyle name="40% - Accent3 6" xfId="203" xr:uid="{00000000-0005-0000-0000-0000CF000000}"/>
    <cellStyle name="40% - Accent3 7" xfId="204" xr:uid="{00000000-0005-0000-0000-0000D0000000}"/>
    <cellStyle name="40% - Accent3 8" xfId="205" xr:uid="{00000000-0005-0000-0000-0000D1000000}"/>
    <cellStyle name="40% - Accent3 9" xfId="206" xr:uid="{00000000-0005-0000-0000-0000D2000000}"/>
    <cellStyle name="40% - Accent4" xfId="207" xr:uid="{00000000-0005-0000-0000-0000D3000000}"/>
    <cellStyle name="40% - Accent4 10" xfId="208" xr:uid="{00000000-0005-0000-0000-0000D4000000}"/>
    <cellStyle name="40% - Accent4 11" xfId="209" xr:uid="{00000000-0005-0000-0000-0000D5000000}"/>
    <cellStyle name="40% - Accent4 12" xfId="210" xr:uid="{00000000-0005-0000-0000-0000D6000000}"/>
    <cellStyle name="40% - Accent4 13" xfId="211" xr:uid="{00000000-0005-0000-0000-0000D7000000}"/>
    <cellStyle name="40% - Accent4 14" xfId="212" xr:uid="{00000000-0005-0000-0000-0000D8000000}"/>
    <cellStyle name="40% - Accent4 15" xfId="213" xr:uid="{00000000-0005-0000-0000-0000D9000000}"/>
    <cellStyle name="40% - Accent4 16" xfId="214" xr:uid="{00000000-0005-0000-0000-0000DA000000}"/>
    <cellStyle name="40% - Accent4 17" xfId="215" xr:uid="{00000000-0005-0000-0000-0000DB000000}"/>
    <cellStyle name="40% - Accent4 18" xfId="216" xr:uid="{00000000-0005-0000-0000-0000DC000000}"/>
    <cellStyle name="40% - Accent4 19" xfId="217" xr:uid="{00000000-0005-0000-0000-0000DD000000}"/>
    <cellStyle name="40% - Accent4 2" xfId="218" xr:uid="{00000000-0005-0000-0000-0000DE000000}"/>
    <cellStyle name="40% - Accent4 20" xfId="219" xr:uid="{00000000-0005-0000-0000-0000DF000000}"/>
    <cellStyle name="40% - Accent4 21" xfId="220" xr:uid="{00000000-0005-0000-0000-0000E0000000}"/>
    <cellStyle name="40% - Accent4 22" xfId="221" xr:uid="{00000000-0005-0000-0000-0000E1000000}"/>
    <cellStyle name="40% - Accent4 23" xfId="222" xr:uid="{00000000-0005-0000-0000-0000E2000000}"/>
    <cellStyle name="40% - Accent4 24" xfId="223" xr:uid="{00000000-0005-0000-0000-0000E3000000}"/>
    <cellStyle name="40% - Accent4 25" xfId="224" xr:uid="{00000000-0005-0000-0000-0000E4000000}"/>
    <cellStyle name="40% - Accent4 26" xfId="225" xr:uid="{00000000-0005-0000-0000-0000E5000000}"/>
    <cellStyle name="40% - Accent4 27" xfId="226" xr:uid="{00000000-0005-0000-0000-0000E6000000}"/>
    <cellStyle name="40% - Accent4 28" xfId="227" xr:uid="{00000000-0005-0000-0000-0000E7000000}"/>
    <cellStyle name="40% - Accent4 29" xfId="228" xr:uid="{00000000-0005-0000-0000-0000E8000000}"/>
    <cellStyle name="40% - Accent4 3" xfId="229" xr:uid="{00000000-0005-0000-0000-0000E9000000}"/>
    <cellStyle name="40% - Accent4 4" xfId="230" xr:uid="{00000000-0005-0000-0000-0000EA000000}"/>
    <cellStyle name="40% - Accent4 5" xfId="231" xr:uid="{00000000-0005-0000-0000-0000EB000000}"/>
    <cellStyle name="40% - Accent4 6" xfId="232" xr:uid="{00000000-0005-0000-0000-0000EC000000}"/>
    <cellStyle name="40% - Accent4 7" xfId="233" xr:uid="{00000000-0005-0000-0000-0000ED000000}"/>
    <cellStyle name="40% - Accent4 8" xfId="234" xr:uid="{00000000-0005-0000-0000-0000EE000000}"/>
    <cellStyle name="40% - Accent4 9" xfId="235" xr:uid="{00000000-0005-0000-0000-0000EF000000}"/>
    <cellStyle name="40% - Accent5" xfId="236" xr:uid="{00000000-0005-0000-0000-0000F0000000}"/>
    <cellStyle name="40% - Accent5 10" xfId="237" xr:uid="{00000000-0005-0000-0000-0000F1000000}"/>
    <cellStyle name="40% - Accent5 11" xfId="238" xr:uid="{00000000-0005-0000-0000-0000F2000000}"/>
    <cellStyle name="40% - Accent5 12" xfId="239" xr:uid="{00000000-0005-0000-0000-0000F3000000}"/>
    <cellStyle name="40% - Accent5 13" xfId="240" xr:uid="{00000000-0005-0000-0000-0000F4000000}"/>
    <cellStyle name="40% - Accent5 14" xfId="241" xr:uid="{00000000-0005-0000-0000-0000F5000000}"/>
    <cellStyle name="40% - Accent5 15" xfId="242" xr:uid="{00000000-0005-0000-0000-0000F6000000}"/>
    <cellStyle name="40% - Accent5 16" xfId="243" xr:uid="{00000000-0005-0000-0000-0000F7000000}"/>
    <cellStyle name="40% - Accent5 17" xfId="244" xr:uid="{00000000-0005-0000-0000-0000F8000000}"/>
    <cellStyle name="40% - Accent5 18" xfId="245" xr:uid="{00000000-0005-0000-0000-0000F9000000}"/>
    <cellStyle name="40% - Accent5 19" xfId="246" xr:uid="{00000000-0005-0000-0000-0000FA000000}"/>
    <cellStyle name="40% - Accent5 2" xfId="247" xr:uid="{00000000-0005-0000-0000-0000FB000000}"/>
    <cellStyle name="40% - Accent5 20" xfId="248" xr:uid="{00000000-0005-0000-0000-0000FC000000}"/>
    <cellStyle name="40% - Accent5 21" xfId="249" xr:uid="{00000000-0005-0000-0000-0000FD000000}"/>
    <cellStyle name="40% - Accent5 22" xfId="250" xr:uid="{00000000-0005-0000-0000-0000FE000000}"/>
    <cellStyle name="40% - Accent5 23" xfId="251" xr:uid="{00000000-0005-0000-0000-0000FF000000}"/>
    <cellStyle name="40% - Accent5 24" xfId="252" xr:uid="{00000000-0005-0000-0000-000000010000}"/>
    <cellStyle name="40% - Accent5 25" xfId="253" xr:uid="{00000000-0005-0000-0000-000001010000}"/>
    <cellStyle name="40% - Accent5 26" xfId="254" xr:uid="{00000000-0005-0000-0000-000002010000}"/>
    <cellStyle name="40% - Accent5 27" xfId="255" xr:uid="{00000000-0005-0000-0000-000003010000}"/>
    <cellStyle name="40% - Accent5 28" xfId="256" xr:uid="{00000000-0005-0000-0000-000004010000}"/>
    <cellStyle name="40% - Accent5 29" xfId="257" xr:uid="{00000000-0005-0000-0000-000005010000}"/>
    <cellStyle name="40% - Accent5 3" xfId="258" xr:uid="{00000000-0005-0000-0000-000006010000}"/>
    <cellStyle name="40% - Accent5 4" xfId="259" xr:uid="{00000000-0005-0000-0000-000007010000}"/>
    <cellStyle name="40% - Accent5 5" xfId="260" xr:uid="{00000000-0005-0000-0000-000008010000}"/>
    <cellStyle name="40% - Accent5 6" xfId="261" xr:uid="{00000000-0005-0000-0000-000009010000}"/>
    <cellStyle name="40% - Accent5 7" xfId="262" xr:uid="{00000000-0005-0000-0000-00000A010000}"/>
    <cellStyle name="40% - Accent5 8" xfId="263" xr:uid="{00000000-0005-0000-0000-00000B010000}"/>
    <cellStyle name="40% - Accent5 9" xfId="264" xr:uid="{00000000-0005-0000-0000-00000C010000}"/>
    <cellStyle name="40% - Accent6" xfId="265" xr:uid="{00000000-0005-0000-0000-00000D010000}"/>
    <cellStyle name="40% - Accent6 10" xfId="266" xr:uid="{00000000-0005-0000-0000-00000E010000}"/>
    <cellStyle name="40% - Accent6 11" xfId="267" xr:uid="{00000000-0005-0000-0000-00000F010000}"/>
    <cellStyle name="40% - Accent6 12" xfId="268" xr:uid="{00000000-0005-0000-0000-000010010000}"/>
    <cellStyle name="40% - Accent6 13" xfId="269" xr:uid="{00000000-0005-0000-0000-000011010000}"/>
    <cellStyle name="40% - Accent6 14" xfId="270" xr:uid="{00000000-0005-0000-0000-000012010000}"/>
    <cellStyle name="40% - Accent6 15" xfId="271" xr:uid="{00000000-0005-0000-0000-000013010000}"/>
    <cellStyle name="40% - Accent6 16" xfId="272" xr:uid="{00000000-0005-0000-0000-000014010000}"/>
    <cellStyle name="40% - Accent6 17" xfId="273" xr:uid="{00000000-0005-0000-0000-000015010000}"/>
    <cellStyle name="40% - Accent6 18" xfId="274" xr:uid="{00000000-0005-0000-0000-000016010000}"/>
    <cellStyle name="40% - Accent6 19" xfId="275" xr:uid="{00000000-0005-0000-0000-000017010000}"/>
    <cellStyle name="40% - Accent6 2" xfId="276" xr:uid="{00000000-0005-0000-0000-000018010000}"/>
    <cellStyle name="40% - Accent6 20" xfId="277" xr:uid="{00000000-0005-0000-0000-000019010000}"/>
    <cellStyle name="40% - Accent6 21" xfId="278" xr:uid="{00000000-0005-0000-0000-00001A010000}"/>
    <cellStyle name="40% - Accent6 22" xfId="279" xr:uid="{00000000-0005-0000-0000-00001B010000}"/>
    <cellStyle name="40% - Accent6 23" xfId="280" xr:uid="{00000000-0005-0000-0000-00001C010000}"/>
    <cellStyle name="40% - Accent6 24" xfId="281" xr:uid="{00000000-0005-0000-0000-00001D010000}"/>
    <cellStyle name="40% - Accent6 25" xfId="282" xr:uid="{00000000-0005-0000-0000-00001E010000}"/>
    <cellStyle name="40% - Accent6 26" xfId="283" xr:uid="{00000000-0005-0000-0000-00001F010000}"/>
    <cellStyle name="40% - Accent6 27" xfId="284" xr:uid="{00000000-0005-0000-0000-000020010000}"/>
    <cellStyle name="40% - Accent6 28" xfId="285" xr:uid="{00000000-0005-0000-0000-000021010000}"/>
    <cellStyle name="40% - Accent6 29" xfId="286" xr:uid="{00000000-0005-0000-0000-000022010000}"/>
    <cellStyle name="40% - Accent6 3" xfId="287" xr:uid="{00000000-0005-0000-0000-000023010000}"/>
    <cellStyle name="40% - Accent6 4" xfId="288" xr:uid="{00000000-0005-0000-0000-000024010000}"/>
    <cellStyle name="40% - Accent6 5" xfId="289" xr:uid="{00000000-0005-0000-0000-000025010000}"/>
    <cellStyle name="40% - Accent6 6" xfId="290" xr:uid="{00000000-0005-0000-0000-000026010000}"/>
    <cellStyle name="40% - Accent6 7" xfId="291" xr:uid="{00000000-0005-0000-0000-000027010000}"/>
    <cellStyle name="40% - Accent6 8" xfId="292" xr:uid="{00000000-0005-0000-0000-000028010000}"/>
    <cellStyle name="40% - Accent6 9" xfId="293" xr:uid="{00000000-0005-0000-0000-000029010000}"/>
    <cellStyle name="60% - Accent1" xfId="294" xr:uid="{00000000-0005-0000-0000-00002A010000}"/>
    <cellStyle name="60% - Accent1 10" xfId="295" xr:uid="{00000000-0005-0000-0000-00002B010000}"/>
    <cellStyle name="60% - Accent1 11" xfId="296" xr:uid="{00000000-0005-0000-0000-00002C010000}"/>
    <cellStyle name="60% - Accent1 12" xfId="297" xr:uid="{00000000-0005-0000-0000-00002D010000}"/>
    <cellStyle name="60% - Accent1 13" xfId="298" xr:uid="{00000000-0005-0000-0000-00002E010000}"/>
    <cellStyle name="60% - Accent1 14" xfId="299" xr:uid="{00000000-0005-0000-0000-00002F010000}"/>
    <cellStyle name="60% - Accent1 15" xfId="300" xr:uid="{00000000-0005-0000-0000-000030010000}"/>
    <cellStyle name="60% - Accent1 16" xfId="301" xr:uid="{00000000-0005-0000-0000-000031010000}"/>
    <cellStyle name="60% - Accent1 17" xfId="302" xr:uid="{00000000-0005-0000-0000-000032010000}"/>
    <cellStyle name="60% - Accent1 18" xfId="303" xr:uid="{00000000-0005-0000-0000-000033010000}"/>
    <cellStyle name="60% - Accent1 19" xfId="304" xr:uid="{00000000-0005-0000-0000-000034010000}"/>
    <cellStyle name="60% - Accent1 2" xfId="305" xr:uid="{00000000-0005-0000-0000-000035010000}"/>
    <cellStyle name="60% - Accent1 20" xfId="306" xr:uid="{00000000-0005-0000-0000-000036010000}"/>
    <cellStyle name="60% - Accent1 21" xfId="307" xr:uid="{00000000-0005-0000-0000-000037010000}"/>
    <cellStyle name="60% - Accent1 22" xfId="308" xr:uid="{00000000-0005-0000-0000-000038010000}"/>
    <cellStyle name="60% - Accent1 23" xfId="309" xr:uid="{00000000-0005-0000-0000-000039010000}"/>
    <cellStyle name="60% - Accent1 24" xfId="310" xr:uid="{00000000-0005-0000-0000-00003A010000}"/>
    <cellStyle name="60% - Accent1 25" xfId="311" xr:uid="{00000000-0005-0000-0000-00003B010000}"/>
    <cellStyle name="60% - Accent1 26" xfId="312" xr:uid="{00000000-0005-0000-0000-00003C010000}"/>
    <cellStyle name="60% - Accent1 27" xfId="313" xr:uid="{00000000-0005-0000-0000-00003D010000}"/>
    <cellStyle name="60% - Accent1 28" xfId="314" xr:uid="{00000000-0005-0000-0000-00003E010000}"/>
    <cellStyle name="60% - Accent1 29" xfId="315" xr:uid="{00000000-0005-0000-0000-00003F010000}"/>
    <cellStyle name="60% - Accent1 3" xfId="316" xr:uid="{00000000-0005-0000-0000-000040010000}"/>
    <cellStyle name="60% - Accent1 4" xfId="317" xr:uid="{00000000-0005-0000-0000-000041010000}"/>
    <cellStyle name="60% - Accent1 5" xfId="318" xr:uid="{00000000-0005-0000-0000-000042010000}"/>
    <cellStyle name="60% - Accent1 6" xfId="319" xr:uid="{00000000-0005-0000-0000-000043010000}"/>
    <cellStyle name="60% - Accent1 7" xfId="320" xr:uid="{00000000-0005-0000-0000-000044010000}"/>
    <cellStyle name="60% - Accent1 8" xfId="321" xr:uid="{00000000-0005-0000-0000-000045010000}"/>
    <cellStyle name="60% - Accent1 9" xfId="322" xr:uid="{00000000-0005-0000-0000-000046010000}"/>
    <cellStyle name="60% - Accent2" xfId="323" xr:uid="{00000000-0005-0000-0000-000047010000}"/>
    <cellStyle name="60% - Accent2 10" xfId="324" xr:uid="{00000000-0005-0000-0000-000048010000}"/>
    <cellStyle name="60% - Accent2 11" xfId="325" xr:uid="{00000000-0005-0000-0000-000049010000}"/>
    <cellStyle name="60% - Accent2 12" xfId="326" xr:uid="{00000000-0005-0000-0000-00004A010000}"/>
    <cellStyle name="60% - Accent2 13" xfId="327" xr:uid="{00000000-0005-0000-0000-00004B010000}"/>
    <cellStyle name="60% - Accent2 14" xfId="328" xr:uid="{00000000-0005-0000-0000-00004C010000}"/>
    <cellStyle name="60% - Accent2 15" xfId="329" xr:uid="{00000000-0005-0000-0000-00004D010000}"/>
    <cellStyle name="60% - Accent2 16" xfId="330" xr:uid="{00000000-0005-0000-0000-00004E010000}"/>
    <cellStyle name="60% - Accent2 17" xfId="331" xr:uid="{00000000-0005-0000-0000-00004F010000}"/>
    <cellStyle name="60% - Accent2 18" xfId="332" xr:uid="{00000000-0005-0000-0000-000050010000}"/>
    <cellStyle name="60% - Accent2 19" xfId="333" xr:uid="{00000000-0005-0000-0000-000051010000}"/>
    <cellStyle name="60% - Accent2 2" xfId="334" xr:uid="{00000000-0005-0000-0000-000052010000}"/>
    <cellStyle name="60% - Accent2 20" xfId="335" xr:uid="{00000000-0005-0000-0000-000053010000}"/>
    <cellStyle name="60% - Accent2 21" xfId="336" xr:uid="{00000000-0005-0000-0000-000054010000}"/>
    <cellStyle name="60% - Accent2 22" xfId="337" xr:uid="{00000000-0005-0000-0000-000055010000}"/>
    <cellStyle name="60% - Accent2 23" xfId="338" xr:uid="{00000000-0005-0000-0000-000056010000}"/>
    <cellStyle name="60% - Accent2 24" xfId="339" xr:uid="{00000000-0005-0000-0000-000057010000}"/>
    <cellStyle name="60% - Accent2 25" xfId="340" xr:uid="{00000000-0005-0000-0000-000058010000}"/>
    <cellStyle name="60% - Accent2 26" xfId="341" xr:uid="{00000000-0005-0000-0000-000059010000}"/>
    <cellStyle name="60% - Accent2 27" xfId="342" xr:uid="{00000000-0005-0000-0000-00005A010000}"/>
    <cellStyle name="60% - Accent2 28" xfId="343" xr:uid="{00000000-0005-0000-0000-00005B010000}"/>
    <cellStyle name="60% - Accent2 29" xfId="344" xr:uid="{00000000-0005-0000-0000-00005C010000}"/>
    <cellStyle name="60% - Accent2 3" xfId="345" xr:uid="{00000000-0005-0000-0000-00005D010000}"/>
    <cellStyle name="60% - Accent2 4" xfId="346" xr:uid="{00000000-0005-0000-0000-00005E010000}"/>
    <cellStyle name="60% - Accent2 5" xfId="347" xr:uid="{00000000-0005-0000-0000-00005F010000}"/>
    <cellStyle name="60% - Accent2 6" xfId="348" xr:uid="{00000000-0005-0000-0000-000060010000}"/>
    <cellStyle name="60% - Accent2 7" xfId="349" xr:uid="{00000000-0005-0000-0000-000061010000}"/>
    <cellStyle name="60% - Accent2 8" xfId="350" xr:uid="{00000000-0005-0000-0000-000062010000}"/>
    <cellStyle name="60% - Accent2 9" xfId="351" xr:uid="{00000000-0005-0000-0000-000063010000}"/>
    <cellStyle name="60% - Accent3" xfId="352" xr:uid="{00000000-0005-0000-0000-000064010000}"/>
    <cellStyle name="60% - Accent3 10" xfId="353" xr:uid="{00000000-0005-0000-0000-000065010000}"/>
    <cellStyle name="60% - Accent3 11" xfId="354" xr:uid="{00000000-0005-0000-0000-000066010000}"/>
    <cellStyle name="60% - Accent3 12" xfId="355" xr:uid="{00000000-0005-0000-0000-000067010000}"/>
    <cellStyle name="60% - Accent3 13" xfId="356" xr:uid="{00000000-0005-0000-0000-000068010000}"/>
    <cellStyle name="60% - Accent3 14" xfId="357" xr:uid="{00000000-0005-0000-0000-000069010000}"/>
    <cellStyle name="60% - Accent3 15" xfId="358" xr:uid="{00000000-0005-0000-0000-00006A010000}"/>
    <cellStyle name="60% - Accent3 16" xfId="359" xr:uid="{00000000-0005-0000-0000-00006B010000}"/>
    <cellStyle name="60% - Accent3 17" xfId="360" xr:uid="{00000000-0005-0000-0000-00006C010000}"/>
    <cellStyle name="60% - Accent3 18" xfId="361" xr:uid="{00000000-0005-0000-0000-00006D010000}"/>
    <cellStyle name="60% - Accent3 19" xfId="362" xr:uid="{00000000-0005-0000-0000-00006E010000}"/>
    <cellStyle name="60% - Accent3 2" xfId="363" xr:uid="{00000000-0005-0000-0000-00006F010000}"/>
    <cellStyle name="60% - Accent3 20" xfId="364" xr:uid="{00000000-0005-0000-0000-000070010000}"/>
    <cellStyle name="60% - Accent3 21" xfId="365" xr:uid="{00000000-0005-0000-0000-000071010000}"/>
    <cellStyle name="60% - Accent3 22" xfId="366" xr:uid="{00000000-0005-0000-0000-000072010000}"/>
    <cellStyle name="60% - Accent3 23" xfId="367" xr:uid="{00000000-0005-0000-0000-000073010000}"/>
    <cellStyle name="60% - Accent3 24" xfId="368" xr:uid="{00000000-0005-0000-0000-000074010000}"/>
    <cellStyle name="60% - Accent3 25" xfId="369" xr:uid="{00000000-0005-0000-0000-000075010000}"/>
    <cellStyle name="60% - Accent3 26" xfId="370" xr:uid="{00000000-0005-0000-0000-000076010000}"/>
    <cellStyle name="60% - Accent3 27" xfId="371" xr:uid="{00000000-0005-0000-0000-000077010000}"/>
    <cellStyle name="60% - Accent3 28" xfId="372" xr:uid="{00000000-0005-0000-0000-000078010000}"/>
    <cellStyle name="60% - Accent3 29" xfId="373" xr:uid="{00000000-0005-0000-0000-000079010000}"/>
    <cellStyle name="60% - Accent3 3" xfId="374" xr:uid="{00000000-0005-0000-0000-00007A010000}"/>
    <cellStyle name="60% - Accent3 4" xfId="375" xr:uid="{00000000-0005-0000-0000-00007B010000}"/>
    <cellStyle name="60% - Accent3 5" xfId="376" xr:uid="{00000000-0005-0000-0000-00007C010000}"/>
    <cellStyle name="60% - Accent3 6" xfId="377" xr:uid="{00000000-0005-0000-0000-00007D010000}"/>
    <cellStyle name="60% - Accent3 7" xfId="378" xr:uid="{00000000-0005-0000-0000-00007E010000}"/>
    <cellStyle name="60% - Accent3 8" xfId="379" xr:uid="{00000000-0005-0000-0000-00007F010000}"/>
    <cellStyle name="60% - Accent3 9" xfId="380" xr:uid="{00000000-0005-0000-0000-000080010000}"/>
    <cellStyle name="60% - Accent4" xfId="381" xr:uid="{00000000-0005-0000-0000-000081010000}"/>
    <cellStyle name="60% - Accent4 10" xfId="382" xr:uid="{00000000-0005-0000-0000-000082010000}"/>
    <cellStyle name="60% - Accent4 11" xfId="383" xr:uid="{00000000-0005-0000-0000-000083010000}"/>
    <cellStyle name="60% - Accent4 12" xfId="384" xr:uid="{00000000-0005-0000-0000-000084010000}"/>
    <cellStyle name="60% - Accent4 13" xfId="385" xr:uid="{00000000-0005-0000-0000-000085010000}"/>
    <cellStyle name="60% - Accent4 14" xfId="386" xr:uid="{00000000-0005-0000-0000-000086010000}"/>
    <cellStyle name="60% - Accent4 15" xfId="387" xr:uid="{00000000-0005-0000-0000-000087010000}"/>
    <cellStyle name="60% - Accent4 16" xfId="388" xr:uid="{00000000-0005-0000-0000-000088010000}"/>
    <cellStyle name="60% - Accent4 17" xfId="389" xr:uid="{00000000-0005-0000-0000-000089010000}"/>
    <cellStyle name="60% - Accent4 18" xfId="390" xr:uid="{00000000-0005-0000-0000-00008A010000}"/>
    <cellStyle name="60% - Accent4 19" xfId="391" xr:uid="{00000000-0005-0000-0000-00008B010000}"/>
    <cellStyle name="60% - Accent4 2" xfId="392" xr:uid="{00000000-0005-0000-0000-00008C010000}"/>
    <cellStyle name="60% - Accent4 20" xfId="393" xr:uid="{00000000-0005-0000-0000-00008D010000}"/>
    <cellStyle name="60% - Accent4 21" xfId="394" xr:uid="{00000000-0005-0000-0000-00008E010000}"/>
    <cellStyle name="60% - Accent4 22" xfId="395" xr:uid="{00000000-0005-0000-0000-00008F010000}"/>
    <cellStyle name="60% - Accent4 23" xfId="396" xr:uid="{00000000-0005-0000-0000-000090010000}"/>
    <cellStyle name="60% - Accent4 24" xfId="397" xr:uid="{00000000-0005-0000-0000-000091010000}"/>
    <cellStyle name="60% - Accent4 25" xfId="398" xr:uid="{00000000-0005-0000-0000-000092010000}"/>
    <cellStyle name="60% - Accent4 26" xfId="399" xr:uid="{00000000-0005-0000-0000-000093010000}"/>
    <cellStyle name="60% - Accent4 27" xfId="400" xr:uid="{00000000-0005-0000-0000-000094010000}"/>
    <cellStyle name="60% - Accent4 28" xfId="401" xr:uid="{00000000-0005-0000-0000-000095010000}"/>
    <cellStyle name="60% - Accent4 29" xfId="402" xr:uid="{00000000-0005-0000-0000-000096010000}"/>
    <cellStyle name="60% - Accent4 3" xfId="403" xr:uid="{00000000-0005-0000-0000-000097010000}"/>
    <cellStyle name="60% - Accent4 4" xfId="404" xr:uid="{00000000-0005-0000-0000-000098010000}"/>
    <cellStyle name="60% - Accent4 5" xfId="405" xr:uid="{00000000-0005-0000-0000-000099010000}"/>
    <cellStyle name="60% - Accent4 6" xfId="406" xr:uid="{00000000-0005-0000-0000-00009A010000}"/>
    <cellStyle name="60% - Accent4 7" xfId="407" xr:uid="{00000000-0005-0000-0000-00009B010000}"/>
    <cellStyle name="60% - Accent4 8" xfId="408" xr:uid="{00000000-0005-0000-0000-00009C010000}"/>
    <cellStyle name="60% - Accent4 9" xfId="409" xr:uid="{00000000-0005-0000-0000-00009D010000}"/>
    <cellStyle name="60% - Accent5" xfId="410" xr:uid="{00000000-0005-0000-0000-00009E010000}"/>
    <cellStyle name="60% - Accent5 10" xfId="411" xr:uid="{00000000-0005-0000-0000-00009F010000}"/>
    <cellStyle name="60% - Accent5 11" xfId="412" xr:uid="{00000000-0005-0000-0000-0000A0010000}"/>
    <cellStyle name="60% - Accent5 12" xfId="413" xr:uid="{00000000-0005-0000-0000-0000A1010000}"/>
    <cellStyle name="60% - Accent5 13" xfId="414" xr:uid="{00000000-0005-0000-0000-0000A2010000}"/>
    <cellStyle name="60% - Accent5 14" xfId="415" xr:uid="{00000000-0005-0000-0000-0000A3010000}"/>
    <cellStyle name="60% - Accent5 15" xfId="416" xr:uid="{00000000-0005-0000-0000-0000A4010000}"/>
    <cellStyle name="60% - Accent5 16" xfId="417" xr:uid="{00000000-0005-0000-0000-0000A5010000}"/>
    <cellStyle name="60% - Accent5 17" xfId="418" xr:uid="{00000000-0005-0000-0000-0000A6010000}"/>
    <cellStyle name="60% - Accent5 18" xfId="419" xr:uid="{00000000-0005-0000-0000-0000A7010000}"/>
    <cellStyle name="60% - Accent5 19" xfId="420" xr:uid="{00000000-0005-0000-0000-0000A8010000}"/>
    <cellStyle name="60% - Accent5 2" xfId="421" xr:uid="{00000000-0005-0000-0000-0000A9010000}"/>
    <cellStyle name="60% - Accent5 20" xfId="422" xr:uid="{00000000-0005-0000-0000-0000AA010000}"/>
    <cellStyle name="60% - Accent5 21" xfId="423" xr:uid="{00000000-0005-0000-0000-0000AB010000}"/>
    <cellStyle name="60% - Accent5 22" xfId="424" xr:uid="{00000000-0005-0000-0000-0000AC010000}"/>
    <cellStyle name="60% - Accent5 23" xfId="425" xr:uid="{00000000-0005-0000-0000-0000AD010000}"/>
    <cellStyle name="60% - Accent5 24" xfId="426" xr:uid="{00000000-0005-0000-0000-0000AE010000}"/>
    <cellStyle name="60% - Accent5 25" xfId="427" xr:uid="{00000000-0005-0000-0000-0000AF010000}"/>
    <cellStyle name="60% - Accent5 26" xfId="428" xr:uid="{00000000-0005-0000-0000-0000B0010000}"/>
    <cellStyle name="60% - Accent5 27" xfId="429" xr:uid="{00000000-0005-0000-0000-0000B1010000}"/>
    <cellStyle name="60% - Accent5 28" xfId="430" xr:uid="{00000000-0005-0000-0000-0000B2010000}"/>
    <cellStyle name="60% - Accent5 29" xfId="431" xr:uid="{00000000-0005-0000-0000-0000B3010000}"/>
    <cellStyle name="60% - Accent5 3" xfId="432" xr:uid="{00000000-0005-0000-0000-0000B4010000}"/>
    <cellStyle name="60% - Accent5 4" xfId="433" xr:uid="{00000000-0005-0000-0000-0000B5010000}"/>
    <cellStyle name="60% - Accent5 5" xfId="434" xr:uid="{00000000-0005-0000-0000-0000B6010000}"/>
    <cellStyle name="60% - Accent5 6" xfId="435" xr:uid="{00000000-0005-0000-0000-0000B7010000}"/>
    <cellStyle name="60% - Accent5 7" xfId="436" xr:uid="{00000000-0005-0000-0000-0000B8010000}"/>
    <cellStyle name="60% - Accent5 8" xfId="437" xr:uid="{00000000-0005-0000-0000-0000B9010000}"/>
    <cellStyle name="60% - Accent5 9" xfId="438" xr:uid="{00000000-0005-0000-0000-0000BA010000}"/>
    <cellStyle name="60% - Accent6" xfId="439" xr:uid="{00000000-0005-0000-0000-0000BB010000}"/>
    <cellStyle name="60% - Accent6 10" xfId="440" xr:uid="{00000000-0005-0000-0000-0000BC010000}"/>
    <cellStyle name="60% - Accent6 11" xfId="441" xr:uid="{00000000-0005-0000-0000-0000BD010000}"/>
    <cellStyle name="60% - Accent6 12" xfId="442" xr:uid="{00000000-0005-0000-0000-0000BE010000}"/>
    <cellStyle name="60% - Accent6 13" xfId="443" xr:uid="{00000000-0005-0000-0000-0000BF010000}"/>
    <cellStyle name="60% - Accent6 14" xfId="444" xr:uid="{00000000-0005-0000-0000-0000C0010000}"/>
    <cellStyle name="60% - Accent6 15" xfId="445" xr:uid="{00000000-0005-0000-0000-0000C1010000}"/>
    <cellStyle name="60% - Accent6 16" xfId="446" xr:uid="{00000000-0005-0000-0000-0000C2010000}"/>
    <cellStyle name="60% - Accent6 17" xfId="447" xr:uid="{00000000-0005-0000-0000-0000C3010000}"/>
    <cellStyle name="60% - Accent6 18" xfId="448" xr:uid="{00000000-0005-0000-0000-0000C4010000}"/>
    <cellStyle name="60% - Accent6 19" xfId="449" xr:uid="{00000000-0005-0000-0000-0000C5010000}"/>
    <cellStyle name="60% - Accent6 2" xfId="450" xr:uid="{00000000-0005-0000-0000-0000C6010000}"/>
    <cellStyle name="60% - Accent6 20" xfId="451" xr:uid="{00000000-0005-0000-0000-0000C7010000}"/>
    <cellStyle name="60% - Accent6 21" xfId="452" xr:uid="{00000000-0005-0000-0000-0000C8010000}"/>
    <cellStyle name="60% - Accent6 22" xfId="453" xr:uid="{00000000-0005-0000-0000-0000C9010000}"/>
    <cellStyle name="60% - Accent6 23" xfId="454" xr:uid="{00000000-0005-0000-0000-0000CA010000}"/>
    <cellStyle name="60% - Accent6 24" xfId="455" xr:uid="{00000000-0005-0000-0000-0000CB010000}"/>
    <cellStyle name="60% - Accent6 25" xfId="456" xr:uid="{00000000-0005-0000-0000-0000CC010000}"/>
    <cellStyle name="60% - Accent6 26" xfId="457" xr:uid="{00000000-0005-0000-0000-0000CD010000}"/>
    <cellStyle name="60% - Accent6 27" xfId="458" xr:uid="{00000000-0005-0000-0000-0000CE010000}"/>
    <cellStyle name="60% - Accent6 28" xfId="459" xr:uid="{00000000-0005-0000-0000-0000CF010000}"/>
    <cellStyle name="60% - Accent6 29" xfId="460" xr:uid="{00000000-0005-0000-0000-0000D0010000}"/>
    <cellStyle name="60% - Accent6 3" xfId="461" xr:uid="{00000000-0005-0000-0000-0000D1010000}"/>
    <cellStyle name="60% - Accent6 4" xfId="462" xr:uid="{00000000-0005-0000-0000-0000D2010000}"/>
    <cellStyle name="60% - Accent6 5" xfId="463" xr:uid="{00000000-0005-0000-0000-0000D3010000}"/>
    <cellStyle name="60% - Accent6 6" xfId="464" xr:uid="{00000000-0005-0000-0000-0000D4010000}"/>
    <cellStyle name="60% - Accent6 7" xfId="465" xr:uid="{00000000-0005-0000-0000-0000D5010000}"/>
    <cellStyle name="60% - Accent6 8" xfId="466" xr:uid="{00000000-0005-0000-0000-0000D6010000}"/>
    <cellStyle name="60% - Accent6 9" xfId="467" xr:uid="{00000000-0005-0000-0000-0000D7010000}"/>
    <cellStyle name="Accent1" xfId="469" xr:uid="{00000000-0005-0000-0000-0000D9010000}"/>
    <cellStyle name="Accent1 10" xfId="470" xr:uid="{00000000-0005-0000-0000-0000DA010000}"/>
    <cellStyle name="Accent1 11" xfId="471" xr:uid="{00000000-0005-0000-0000-0000DB010000}"/>
    <cellStyle name="Accent1 12" xfId="472" xr:uid="{00000000-0005-0000-0000-0000DC010000}"/>
    <cellStyle name="Accent1 13" xfId="473" xr:uid="{00000000-0005-0000-0000-0000DD010000}"/>
    <cellStyle name="Accent1 14" xfId="474" xr:uid="{00000000-0005-0000-0000-0000DE010000}"/>
    <cellStyle name="Accent1 15" xfId="475" xr:uid="{00000000-0005-0000-0000-0000DF010000}"/>
    <cellStyle name="Accent1 16" xfId="476" xr:uid="{00000000-0005-0000-0000-0000E0010000}"/>
    <cellStyle name="Accent1 17" xfId="477" xr:uid="{00000000-0005-0000-0000-0000E1010000}"/>
    <cellStyle name="Accent1 18" xfId="478" xr:uid="{00000000-0005-0000-0000-0000E2010000}"/>
    <cellStyle name="Accent1 19" xfId="479" xr:uid="{00000000-0005-0000-0000-0000E3010000}"/>
    <cellStyle name="Accent1 2" xfId="480" xr:uid="{00000000-0005-0000-0000-0000E4010000}"/>
    <cellStyle name="Accent1 20" xfId="481" xr:uid="{00000000-0005-0000-0000-0000E5010000}"/>
    <cellStyle name="Accent1 21" xfId="482" xr:uid="{00000000-0005-0000-0000-0000E6010000}"/>
    <cellStyle name="Accent1 22" xfId="483" xr:uid="{00000000-0005-0000-0000-0000E7010000}"/>
    <cellStyle name="Accent1 23" xfId="484" xr:uid="{00000000-0005-0000-0000-0000E8010000}"/>
    <cellStyle name="Accent1 24" xfId="485" xr:uid="{00000000-0005-0000-0000-0000E9010000}"/>
    <cellStyle name="Accent1 25" xfId="486" xr:uid="{00000000-0005-0000-0000-0000EA010000}"/>
    <cellStyle name="Accent1 26" xfId="487" xr:uid="{00000000-0005-0000-0000-0000EB010000}"/>
    <cellStyle name="Accent1 27" xfId="488" xr:uid="{00000000-0005-0000-0000-0000EC010000}"/>
    <cellStyle name="Accent1 28" xfId="489" xr:uid="{00000000-0005-0000-0000-0000ED010000}"/>
    <cellStyle name="Accent1 29" xfId="490" xr:uid="{00000000-0005-0000-0000-0000EE010000}"/>
    <cellStyle name="Accent1 3" xfId="491" xr:uid="{00000000-0005-0000-0000-0000EF010000}"/>
    <cellStyle name="Accent1 4" xfId="492" xr:uid="{00000000-0005-0000-0000-0000F0010000}"/>
    <cellStyle name="Accent1 5" xfId="493" xr:uid="{00000000-0005-0000-0000-0000F1010000}"/>
    <cellStyle name="Accent1 6" xfId="494" xr:uid="{00000000-0005-0000-0000-0000F2010000}"/>
    <cellStyle name="Accent1 7" xfId="495" xr:uid="{00000000-0005-0000-0000-0000F3010000}"/>
    <cellStyle name="Accent1 8" xfId="496" xr:uid="{00000000-0005-0000-0000-0000F4010000}"/>
    <cellStyle name="Accent1 9" xfId="497" xr:uid="{00000000-0005-0000-0000-0000F5010000}"/>
    <cellStyle name="Accent2" xfId="498" xr:uid="{00000000-0005-0000-0000-0000F6010000}"/>
    <cellStyle name="Accent2 10" xfId="499" xr:uid="{00000000-0005-0000-0000-0000F7010000}"/>
    <cellStyle name="Accent2 11" xfId="500" xr:uid="{00000000-0005-0000-0000-0000F8010000}"/>
    <cellStyle name="Accent2 12" xfId="501" xr:uid="{00000000-0005-0000-0000-0000F9010000}"/>
    <cellStyle name="Accent2 13" xfId="502" xr:uid="{00000000-0005-0000-0000-0000FA010000}"/>
    <cellStyle name="Accent2 14" xfId="503" xr:uid="{00000000-0005-0000-0000-0000FB010000}"/>
    <cellStyle name="Accent2 15" xfId="504" xr:uid="{00000000-0005-0000-0000-0000FC010000}"/>
    <cellStyle name="Accent2 16" xfId="505" xr:uid="{00000000-0005-0000-0000-0000FD010000}"/>
    <cellStyle name="Accent2 17" xfId="506" xr:uid="{00000000-0005-0000-0000-0000FE010000}"/>
    <cellStyle name="Accent2 18" xfId="507" xr:uid="{00000000-0005-0000-0000-0000FF010000}"/>
    <cellStyle name="Accent2 19" xfId="508" xr:uid="{00000000-0005-0000-0000-000000020000}"/>
    <cellStyle name="Accent2 2" xfId="509" xr:uid="{00000000-0005-0000-0000-000001020000}"/>
    <cellStyle name="Accent2 20" xfId="510" xr:uid="{00000000-0005-0000-0000-000002020000}"/>
    <cellStyle name="Accent2 21" xfId="511" xr:uid="{00000000-0005-0000-0000-000003020000}"/>
    <cellStyle name="Accent2 22" xfId="512" xr:uid="{00000000-0005-0000-0000-000004020000}"/>
    <cellStyle name="Accent2 23" xfId="513" xr:uid="{00000000-0005-0000-0000-000005020000}"/>
    <cellStyle name="Accent2 24" xfId="514" xr:uid="{00000000-0005-0000-0000-000006020000}"/>
    <cellStyle name="Accent2 25" xfId="515" xr:uid="{00000000-0005-0000-0000-000007020000}"/>
    <cellStyle name="Accent2 26" xfId="516" xr:uid="{00000000-0005-0000-0000-000008020000}"/>
    <cellStyle name="Accent2 27" xfId="517" xr:uid="{00000000-0005-0000-0000-000009020000}"/>
    <cellStyle name="Accent2 28" xfId="518" xr:uid="{00000000-0005-0000-0000-00000A020000}"/>
    <cellStyle name="Accent2 29" xfId="519" xr:uid="{00000000-0005-0000-0000-00000B020000}"/>
    <cellStyle name="Accent2 3" xfId="520" xr:uid="{00000000-0005-0000-0000-00000C020000}"/>
    <cellStyle name="Accent2 4" xfId="521" xr:uid="{00000000-0005-0000-0000-00000D020000}"/>
    <cellStyle name="Accent2 5" xfId="522" xr:uid="{00000000-0005-0000-0000-00000E020000}"/>
    <cellStyle name="Accent2 6" xfId="523" xr:uid="{00000000-0005-0000-0000-00000F020000}"/>
    <cellStyle name="Accent2 7" xfId="524" xr:uid="{00000000-0005-0000-0000-000010020000}"/>
    <cellStyle name="Accent2 8" xfId="525" xr:uid="{00000000-0005-0000-0000-000011020000}"/>
    <cellStyle name="Accent2 9" xfId="526" xr:uid="{00000000-0005-0000-0000-000012020000}"/>
    <cellStyle name="Accent3" xfId="527" xr:uid="{00000000-0005-0000-0000-000013020000}"/>
    <cellStyle name="Accent3 10" xfId="528" xr:uid="{00000000-0005-0000-0000-000014020000}"/>
    <cellStyle name="Accent3 11" xfId="529" xr:uid="{00000000-0005-0000-0000-000015020000}"/>
    <cellStyle name="Accent3 12" xfId="530" xr:uid="{00000000-0005-0000-0000-000016020000}"/>
    <cellStyle name="Accent3 13" xfId="531" xr:uid="{00000000-0005-0000-0000-000017020000}"/>
    <cellStyle name="Accent3 14" xfId="532" xr:uid="{00000000-0005-0000-0000-000018020000}"/>
    <cellStyle name="Accent3 15" xfId="533" xr:uid="{00000000-0005-0000-0000-000019020000}"/>
    <cellStyle name="Accent3 16" xfId="534" xr:uid="{00000000-0005-0000-0000-00001A020000}"/>
    <cellStyle name="Accent3 17" xfId="535" xr:uid="{00000000-0005-0000-0000-00001B020000}"/>
    <cellStyle name="Accent3 18" xfId="536" xr:uid="{00000000-0005-0000-0000-00001C020000}"/>
    <cellStyle name="Accent3 19" xfId="537" xr:uid="{00000000-0005-0000-0000-00001D020000}"/>
    <cellStyle name="Accent3 2" xfId="538" xr:uid="{00000000-0005-0000-0000-00001E020000}"/>
    <cellStyle name="Accent3 20" xfId="539" xr:uid="{00000000-0005-0000-0000-00001F020000}"/>
    <cellStyle name="Accent3 21" xfId="540" xr:uid="{00000000-0005-0000-0000-000020020000}"/>
    <cellStyle name="Accent3 22" xfId="541" xr:uid="{00000000-0005-0000-0000-000021020000}"/>
    <cellStyle name="Accent3 23" xfId="542" xr:uid="{00000000-0005-0000-0000-000022020000}"/>
    <cellStyle name="Accent3 24" xfId="543" xr:uid="{00000000-0005-0000-0000-000023020000}"/>
    <cellStyle name="Accent3 25" xfId="544" xr:uid="{00000000-0005-0000-0000-000024020000}"/>
    <cellStyle name="Accent3 26" xfId="545" xr:uid="{00000000-0005-0000-0000-000025020000}"/>
    <cellStyle name="Accent3 27" xfId="546" xr:uid="{00000000-0005-0000-0000-000026020000}"/>
    <cellStyle name="Accent3 28" xfId="547" xr:uid="{00000000-0005-0000-0000-000027020000}"/>
    <cellStyle name="Accent3 29" xfId="548" xr:uid="{00000000-0005-0000-0000-000028020000}"/>
    <cellStyle name="Accent3 3" xfId="549" xr:uid="{00000000-0005-0000-0000-000029020000}"/>
    <cellStyle name="Accent3 4" xfId="550" xr:uid="{00000000-0005-0000-0000-00002A020000}"/>
    <cellStyle name="Accent3 5" xfId="551" xr:uid="{00000000-0005-0000-0000-00002B020000}"/>
    <cellStyle name="Accent3 6" xfId="552" xr:uid="{00000000-0005-0000-0000-00002C020000}"/>
    <cellStyle name="Accent3 7" xfId="553" xr:uid="{00000000-0005-0000-0000-00002D020000}"/>
    <cellStyle name="Accent3 8" xfId="554" xr:uid="{00000000-0005-0000-0000-00002E020000}"/>
    <cellStyle name="Accent3 9" xfId="555" xr:uid="{00000000-0005-0000-0000-00002F020000}"/>
    <cellStyle name="Accent4" xfId="556" xr:uid="{00000000-0005-0000-0000-000030020000}"/>
    <cellStyle name="Accent4 10" xfId="557" xr:uid="{00000000-0005-0000-0000-000031020000}"/>
    <cellStyle name="Accent4 11" xfId="558" xr:uid="{00000000-0005-0000-0000-000032020000}"/>
    <cellStyle name="Accent4 12" xfId="559" xr:uid="{00000000-0005-0000-0000-000033020000}"/>
    <cellStyle name="Accent4 13" xfId="560" xr:uid="{00000000-0005-0000-0000-000034020000}"/>
    <cellStyle name="Accent4 14" xfId="561" xr:uid="{00000000-0005-0000-0000-000035020000}"/>
    <cellStyle name="Accent4 15" xfId="562" xr:uid="{00000000-0005-0000-0000-000036020000}"/>
    <cellStyle name="Accent4 16" xfId="563" xr:uid="{00000000-0005-0000-0000-000037020000}"/>
    <cellStyle name="Accent4 17" xfId="564" xr:uid="{00000000-0005-0000-0000-000038020000}"/>
    <cellStyle name="Accent4 18" xfId="565" xr:uid="{00000000-0005-0000-0000-000039020000}"/>
    <cellStyle name="Accent4 19" xfId="566" xr:uid="{00000000-0005-0000-0000-00003A020000}"/>
    <cellStyle name="Accent4 2" xfId="567" xr:uid="{00000000-0005-0000-0000-00003B020000}"/>
    <cellStyle name="Accent4 20" xfId="568" xr:uid="{00000000-0005-0000-0000-00003C020000}"/>
    <cellStyle name="Accent4 21" xfId="569" xr:uid="{00000000-0005-0000-0000-00003D020000}"/>
    <cellStyle name="Accent4 22" xfId="570" xr:uid="{00000000-0005-0000-0000-00003E020000}"/>
    <cellStyle name="Accent4 23" xfId="571" xr:uid="{00000000-0005-0000-0000-00003F020000}"/>
    <cellStyle name="Accent4 24" xfId="572" xr:uid="{00000000-0005-0000-0000-000040020000}"/>
    <cellStyle name="Accent4 25" xfId="573" xr:uid="{00000000-0005-0000-0000-000041020000}"/>
    <cellStyle name="Accent4 26" xfId="574" xr:uid="{00000000-0005-0000-0000-000042020000}"/>
    <cellStyle name="Accent4 27" xfId="575" xr:uid="{00000000-0005-0000-0000-000043020000}"/>
    <cellStyle name="Accent4 28" xfId="576" xr:uid="{00000000-0005-0000-0000-000044020000}"/>
    <cellStyle name="Accent4 29" xfId="577" xr:uid="{00000000-0005-0000-0000-000045020000}"/>
    <cellStyle name="Accent4 3" xfId="578" xr:uid="{00000000-0005-0000-0000-000046020000}"/>
    <cellStyle name="Accent4 4" xfId="579" xr:uid="{00000000-0005-0000-0000-000047020000}"/>
    <cellStyle name="Accent4 5" xfId="580" xr:uid="{00000000-0005-0000-0000-000048020000}"/>
    <cellStyle name="Accent4 6" xfId="581" xr:uid="{00000000-0005-0000-0000-000049020000}"/>
    <cellStyle name="Accent4 7" xfId="582" xr:uid="{00000000-0005-0000-0000-00004A020000}"/>
    <cellStyle name="Accent4 8" xfId="583" xr:uid="{00000000-0005-0000-0000-00004B020000}"/>
    <cellStyle name="Accent4 9" xfId="584" xr:uid="{00000000-0005-0000-0000-00004C020000}"/>
    <cellStyle name="Accent5" xfId="585" xr:uid="{00000000-0005-0000-0000-00004D020000}"/>
    <cellStyle name="Accent6" xfId="586" xr:uid="{00000000-0005-0000-0000-00004E020000}"/>
    <cellStyle name="Accent6 10" xfId="587" xr:uid="{00000000-0005-0000-0000-00004F020000}"/>
    <cellStyle name="Accent6 11" xfId="588" xr:uid="{00000000-0005-0000-0000-000050020000}"/>
    <cellStyle name="Accent6 12" xfId="589" xr:uid="{00000000-0005-0000-0000-000051020000}"/>
    <cellStyle name="Accent6 13" xfId="590" xr:uid="{00000000-0005-0000-0000-000052020000}"/>
    <cellStyle name="Accent6 14" xfId="591" xr:uid="{00000000-0005-0000-0000-000053020000}"/>
    <cellStyle name="Accent6 15" xfId="592" xr:uid="{00000000-0005-0000-0000-000054020000}"/>
    <cellStyle name="Accent6 16" xfId="593" xr:uid="{00000000-0005-0000-0000-000055020000}"/>
    <cellStyle name="Accent6 17" xfId="594" xr:uid="{00000000-0005-0000-0000-000056020000}"/>
    <cellStyle name="Accent6 18" xfId="595" xr:uid="{00000000-0005-0000-0000-000057020000}"/>
    <cellStyle name="Accent6 19" xfId="596" xr:uid="{00000000-0005-0000-0000-000058020000}"/>
    <cellStyle name="Accent6 2" xfId="597" xr:uid="{00000000-0005-0000-0000-000059020000}"/>
    <cellStyle name="Accent6 20" xfId="598" xr:uid="{00000000-0005-0000-0000-00005A020000}"/>
    <cellStyle name="Accent6 21" xfId="599" xr:uid="{00000000-0005-0000-0000-00005B020000}"/>
    <cellStyle name="Accent6 22" xfId="600" xr:uid="{00000000-0005-0000-0000-00005C020000}"/>
    <cellStyle name="Accent6 23" xfId="601" xr:uid="{00000000-0005-0000-0000-00005D020000}"/>
    <cellStyle name="Accent6 24" xfId="602" xr:uid="{00000000-0005-0000-0000-00005E020000}"/>
    <cellStyle name="Accent6 25" xfId="603" xr:uid="{00000000-0005-0000-0000-00005F020000}"/>
    <cellStyle name="Accent6 26" xfId="604" xr:uid="{00000000-0005-0000-0000-000060020000}"/>
    <cellStyle name="Accent6 27" xfId="605" xr:uid="{00000000-0005-0000-0000-000061020000}"/>
    <cellStyle name="Accent6 28" xfId="606" xr:uid="{00000000-0005-0000-0000-000062020000}"/>
    <cellStyle name="Accent6 29" xfId="607" xr:uid="{00000000-0005-0000-0000-000063020000}"/>
    <cellStyle name="Accent6 3" xfId="608" xr:uid="{00000000-0005-0000-0000-000064020000}"/>
    <cellStyle name="Accent6 4" xfId="609" xr:uid="{00000000-0005-0000-0000-000065020000}"/>
    <cellStyle name="Accent6 5" xfId="610" xr:uid="{00000000-0005-0000-0000-000066020000}"/>
    <cellStyle name="Accent6 6" xfId="611" xr:uid="{00000000-0005-0000-0000-000067020000}"/>
    <cellStyle name="Accent6 7" xfId="612" xr:uid="{00000000-0005-0000-0000-000068020000}"/>
    <cellStyle name="Accent6 8" xfId="613" xr:uid="{00000000-0005-0000-0000-000069020000}"/>
    <cellStyle name="Accent6 9" xfId="614" xr:uid="{00000000-0005-0000-0000-00006A020000}"/>
    <cellStyle name="Bad 1" xfId="615" xr:uid="{00000000-0005-0000-0000-00006B020000}"/>
    <cellStyle name="Bad 10" xfId="616" xr:uid="{00000000-0005-0000-0000-00006C020000}"/>
    <cellStyle name="Bad 11" xfId="617" xr:uid="{00000000-0005-0000-0000-00006D020000}"/>
    <cellStyle name="Bad 12" xfId="618" xr:uid="{00000000-0005-0000-0000-00006E020000}"/>
    <cellStyle name="Bad 13" xfId="619" xr:uid="{00000000-0005-0000-0000-00006F020000}"/>
    <cellStyle name="Bad 14" xfId="620" xr:uid="{00000000-0005-0000-0000-000070020000}"/>
    <cellStyle name="Bad 15" xfId="621" xr:uid="{00000000-0005-0000-0000-000071020000}"/>
    <cellStyle name="Bad 16" xfId="622" xr:uid="{00000000-0005-0000-0000-000072020000}"/>
    <cellStyle name="Bad 17" xfId="623" xr:uid="{00000000-0005-0000-0000-000073020000}"/>
    <cellStyle name="Bad 18" xfId="624" xr:uid="{00000000-0005-0000-0000-000074020000}"/>
    <cellStyle name="Bad 19" xfId="625" xr:uid="{00000000-0005-0000-0000-000075020000}"/>
    <cellStyle name="Bad 2" xfId="626" xr:uid="{00000000-0005-0000-0000-000076020000}"/>
    <cellStyle name="Bad 20" xfId="627" xr:uid="{00000000-0005-0000-0000-000077020000}"/>
    <cellStyle name="Bad 21" xfId="628" xr:uid="{00000000-0005-0000-0000-000078020000}"/>
    <cellStyle name="Bad 22" xfId="629" xr:uid="{00000000-0005-0000-0000-000079020000}"/>
    <cellStyle name="Bad 23" xfId="630" xr:uid="{00000000-0005-0000-0000-00007A020000}"/>
    <cellStyle name="Bad 24" xfId="631" xr:uid="{00000000-0005-0000-0000-00007B020000}"/>
    <cellStyle name="Bad 25" xfId="632" xr:uid="{00000000-0005-0000-0000-00007C020000}"/>
    <cellStyle name="Bad 26" xfId="633" xr:uid="{00000000-0005-0000-0000-00007D020000}"/>
    <cellStyle name="Bad 27" xfId="634" xr:uid="{00000000-0005-0000-0000-00007E020000}"/>
    <cellStyle name="Bad 28" xfId="635" xr:uid="{00000000-0005-0000-0000-00007F020000}"/>
    <cellStyle name="Bad 29" xfId="636" xr:uid="{00000000-0005-0000-0000-000080020000}"/>
    <cellStyle name="Bad 3" xfId="637" xr:uid="{00000000-0005-0000-0000-000081020000}"/>
    <cellStyle name="Bad 4" xfId="638" xr:uid="{00000000-0005-0000-0000-000082020000}"/>
    <cellStyle name="Bad 5" xfId="639" xr:uid="{00000000-0005-0000-0000-000083020000}"/>
    <cellStyle name="Bad 6" xfId="640" xr:uid="{00000000-0005-0000-0000-000084020000}"/>
    <cellStyle name="Bad 7" xfId="641" xr:uid="{00000000-0005-0000-0000-000085020000}"/>
    <cellStyle name="Bad 8" xfId="642" xr:uid="{00000000-0005-0000-0000-000086020000}"/>
    <cellStyle name="Bad 9" xfId="643" xr:uid="{00000000-0005-0000-0000-000087020000}"/>
    <cellStyle name="Calculation" xfId="644" xr:uid="{00000000-0005-0000-0000-000088020000}"/>
    <cellStyle name="Calculation 10" xfId="645" xr:uid="{00000000-0005-0000-0000-000089020000}"/>
    <cellStyle name="Calculation 11" xfId="646" xr:uid="{00000000-0005-0000-0000-00008A020000}"/>
    <cellStyle name="Calculation 12" xfId="647" xr:uid="{00000000-0005-0000-0000-00008B020000}"/>
    <cellStyle name="Calculation 13" xfId="648" xr:uid="{00000000-0005-0000-0000-00008C020000}"/>
    <cellStyle name="Calculation 14" xfId="649" xr:uid="{00000000-0005-0000-0000-00008D020000}"/>
    <cellStyle name="Calculation 15" xfId="650" xr:uid="{00000000-0005-0000-0000-00008E020000}"/>
    <cellStyle name="Calculation 16" xfId="651" xr:uid="{00000000-0005-0000-0000-00008F020000}"/>
    <cellStyle name="Calculation 17" xfId="652" xr:uid="{00000000-0005-0000-0000-000090020000}"/>
    <cellStyle name="Calculation 18" xfId="653" xr:uid="{00000000-0005-0000-0000-000091020000}"/>
    <cellStyle name="Calculation 19" xfId="654" xr:uid="{00000000-0005-0000-0000-000092020000}"/>
    <cellStyle name="Calculation 2" xfId="655" xr:uid="{00000000-0005-0000-0000-000093020000}"/>
    <cellStyle name="Calculation 20" xfId="656" xr:uid="{00000000-0005-0000-0000-000094020000}"/>
    <cellStyle name="Calculation 21" xfId="657" xr:uid="{00000000-0005-0000-0000-000095020000}"/>
    <cellStyle name="Calculation 22" xfId="658" xr:uid="{00000000-0005-0000-0000-000096020000}"/>
    <cellStyle name="Calculation 23" xfId="659" xr:uid="{00000000-0005-0000-0000-000097020000}"/>
    <cellStyle name="Calculation 24" xfId="660" xr:uid="{00000000-0005-0000-0000-000098020000}"/>
    <cellStyle name="Calculation 25" xfId="661" xr:uid="{00000000-0005-0000-0000-000099020000}"/>
    <cellStyle name="Calculation 26" xfId="662" xr:uid="{00000000-0005-0000-0000-00009A020000}"/>
    <cellStyle name="Calculation 27" xfId="663" xr:uid="{00000000-0005-0000-0000-00009B020000}"/>
    <cellStyle name="Calculation 28" xfId="664" xr:uid="{00000000-0005-0000-0000-00009C020000}"/>
    <cellStyle name="Calculation 29" xfId="665" xr:uid="{00000000-0005-0000-0000-00009D020000}"/>
    <cellStyle name="Calculation 3" xfId="666" xr:uid="{00000000-0005-0000-0000-00009E020000}"/>
    <cellStyle name="Calculation 4" xfId="667" xr:uid="{00000000-0005-0000-0000-00009F020000}"/>
    <cellStyle name="Calculation 5" xfId="668" xr:uid="{00000000-0005-0000-0000-0000A0020000}"/>
    <cellStyle name="Calculation 6" xfId="669" xr:uid="{00000000-0005-0000-0000-0000A1020000}"/>
    <cellStyle name="Calculation 7" xfId="670" xr:uid="{00000000-0005-0000-0000-0000A2020000}"/>
    <cellStyle name="Calculation 8" xfId="671" xr:uid="{00000000-0005-0000-0000-0000A3020000}"/>
    <cellStyle name="Calculation 9" xfId="672" xr:uid="{00000000-0005-0000-0000-0000A4020000}"/>
    <cellStyle name="Check Cell" xfId="673" xr:uid="{00000000-0005-0000-0000-0000A5020000}"/>
    <cellStyle name="Claudio" xfId="674" xr:uid="{00000000-0005-0000-0000-0000A6020000}"/>
    <cellStyle name="Comma 2" xfId="675" xr:uid="{00000000-0005-0000-0000-0000A7020000}"/>
    <cellStyle name="Comma0" xfId="676" xr:uid="{00000000-0005-0000-0000-0000A8020000}"/>
    <cellStyle name="Currency0" xfId="677" xr:uid="{00000000-0005-0000-0000-0000A9020000}"/>
    <cellStyle name="Date" xfId="678" xr:uid="{00000000-0005-0000-0000-0000AA020000}"/>
    <cellStyle name="Estilo 1" xfId="679" xr:uid="{00000000-0005-0000-0000-0000AB020000}"/>
    <cellStyle name="Euro" xfId="680" xr:uid="{00000000-0005-0000-0000-0000AC020000}"/>
    <cellStyle name="Euro 10" xfId="681" xr:uid="{00000000-0005-0000-0000-0000AD020000}"/>
    <cellStyle name="Euro 11" xfId="682" xr:uid="{00000000-0005-0000-0000-0000AE020000}"/>
    <cellStyle name="Euro 12" xfId="683" xr:uid="{00000000-0005-0000-0000-0000AF020000}"/>
    <cellStyle name="Euro 13" xfId="684" xr:uid="{00000000-0005-0000-0000-0000B0020000}"/>
    <cellStyle name="Euro 14" xfId="685" xr:uid="{00000000-0005-0000-0000-0000B1020000}"/>
    <cellStyle name="Euro 15" xfId="686" xr:uid="{00000000-0005-0000-0000-0000B2020000}"/>
    <cellStyle name="Euro 16" xfId="687" xr:uid="{00000000-0005-0000-0000-0000B3020000}"/>
    <cellStyle name="Euro 17" xfId="688" xr:uid="{00000000-0005-0000-0000-0000B4020000}"/>
    <cellStyle name="Euro 18" xfId="689" xr:uid="{00000000-0005-0000-0000-0000B5020000}"/>
    <cellStyle name="Euro 19" xfId="690" xr:uid="{00000000-0005-0000-0000-0000B6020000}"/>
    <cellStyle name="Euro 2" xfId="691" xr:uid="{00000000-0005-0000-0000-0000B7020000}"/>
    <cellStyle name="Euro 20" xfId="692" xr:uid="{00000000-0005-0000-0000-0000B8020000}"/>
    <cellStyle name="Euro 21" xfId="693" xr:uid="{00000000-0005-0000-0000-0000B9020000}"/>
    <cellStyle name="Euro 22" xfId="694" xr:uid="{00000000-0005-0000-0000-0000BA020000}"/>
    <cellStyle name="Euro 23" xfId="695" xr:uid="{00000000-0005-0000-0000-0000BB020000}"/>
    <cellStyle name="Euro 24" xfId="696" xr:uid="{00000000-0005-0000-0000-0000BC020000}"/>
    <cellStyle name="Euro 25" xfId="697" xr:uid="{00000000-0005-0000-0000-0000BD020000}"/>
    <cellStyle name="Euro 26" xfId="698" xr:uid="{00000000-0005-0000-0000-0000BE020000}"/>
    <cellStyle name="Euro 27" xfId="699" xr:uid="{00000000-0005-0000-0000-0000BF020000}"/>
    <cellStyle name="Euro 28" xfId="700" xr:uid="{00000000-0005-0000-0000-0000C0020000}"/>
    <cellStyle name="Euro 29" xfId="701" xr:uid="{00000000-0005-0000-0000-0000C1020000}"/>
    <cellStyle name="Euro 3" xfId="702" xr:uid="{00000000-0005-0000-0000-0000C2020000}"/>
    <cellStyle name="Euro 4" xfId="703" xr:uid="{00000000-0005-0000-0000-0000C3020000}"/>
    <cellStyle name="Euro 5" xfId="704" xr:uid="{00000000-0005-0000-0000-0000C4020000}"/>
    <cellStyle name="Euro 6" xfId="705" xr:uid="{00000000-0005-0000-0000-0000C5020000}"/>
    <cellStyle name="Euro 7" xfId="706" xr:uid="{00000000-0005-0000-0000-0000C6020000}"/>
    <cellStyle name="Euro 8" xfId="707" xr:uid="{00000000-0005-0000-0000-0000C7020000}"/>
    <cellStyle name="Euro 9" xfId="708" xr:uid="{00000000-0005-0000-0000-0000C8020000}"/>
    <cellStyle name="Excel Built-in Comma [0]" xfId="1346" xr:uid="{00000000-0005-0000-0000-000046050000}"/>
    <cellStyle name="Excel Built-in Comma [0] 1" xfId="1345" xr:uid="{00000000-0005-0000-0000-000045050000}"/>
    <cellStyle name="Excel Built-in Currency [0]" xfId="1347" xr:uid="{00000000-0005-0000-0000-000048050000}"/>
    <cellStyle name="Explanatory Text" xfId="709" xr:uid="{00000000-0005-0000-0000-0000C9020000}"/>
    <cellStyle name="Fixed" xfId="710" xr:uid="{00000000-0005-0000-0000-0000CA020000}"/>
    <cellStyle name="Good 10" xfId="711" xr:uid="{00000000-0005-0000-0000-0000CB020000}"/>
    <cellStyle name="Good 11" xfId="712" xr:uid="{00000000-0005-0000-0000-0000CC020000}"/>
    <cellStyle name="Good 12" xfId="713" xr:uid="{00000000-0005-0000-0000-0000CD020000}"/>
    <cellStyle name="Good 13" xfId="714" xr:uid="{00000000-0005-0000-0000-0000CE020000}"/>
    <cellStyle name="Good 14" xfId="715" xr:uid="{00000000-0005-0000-0000-0000CF020000}"/>
    <cellStyle name="Good 15" xfId="716" xr:uid="{00000000-0005-0000-0000-0000D0020000}"/>
    <cellStyle name="Good 16" xfId="717" xr:uid="{00000000-0005-0000-0000-0000D1020000}"/>
    <cellStyle name="Good 17" xfId="718" xr:uid="{00000000-0005-0000-0000-0000D2020000}"/>
    <cellStyle name="Good 18" xfId="719" xr:uid="{00000000-0005-0000-0000-0000D3020000}"/>
    <cellStyle name="Good 19" xfId="720" xr:uid="{00000000-0005-0000-0000-0000D4020000}"/>
    <cellStyle name="Good 2" xfId="721" xr:uid="{00000000-0005-0000-0000-0000D5020000}"/>
    <cellStyle name="Good 20" xfId="722" xr:uid="{00000000-0005-0000-0000-0000D6020000}"/>
    <cellStyle name="Good 21" xfId="723" xr:uid="{00000000-0005-0000-0000-0000D7020000}"/>
    <cellStyle name="Good 22" xfId="724" xr:uid="{00000000-0005-0000-0000-0000D8020000}"/>
    <cellStyle name="Good 23" xfId="725" xr:uid="{00000000-0005-0000-0000-0000D9020000}"/>
    <cellStyle name="Good 24" xfId="726" xr:uid="{00000000-0005-0000-0000-0000DA020000}"/>
    <cellStyle name="Good 25" xfId="727" xr:uid="{00000000-0005-0000-0000-0000DB020000}"/>
    <cellStyle name="Good 26" xfId="728" xr:uid="{00000000-0005-0000-0000-0000DC020000}"/>
    <cellStyle name="Good 27" xfId="729" xr:uid="{00000000-0005-0000-0000-0000DD020000}"/>
    <cellStyle name="Good 28" xfId="730" xr:uid="{00000000-0005-0000-0000-0000DE020000}"/>
    <cellStyle name="Good 29" xfId="731" xr:uid="{00000000-0005-0000-0000-0000DF020000}"/>
    <cellStyle name="Good 3" xfId="732" xr:uid="{00000000-0005-0000-0000-0000E0020000}"/>
    <cellStyle name="Good 30" xfId="733" xr:uid="{00000000-0005-0000-0000-0000E1020000}"/>
    <cellStyle name="Good 4" xfId="734" xr:uid="{00000000-0005-0000-0000-0000E2020000}"/>
    <cellStyle name="Good 5" xfId="735" xr:uid="{00000000-0005-0000-0000-0000E3020000}"/>
    <cellStyle name="Good 6" xfId="736" xr:uid="{00000000-0005-0000-0000-0000E4020000}"/>
    <cellStyle name="Good 7" xfId="737" xr:uid="{00000000-0005-0000-0000-0000E5020000}"/>
    <cellStyle name="Good 8" xfId="738" xr:uid="{00000000-0005-0000-0000-0000E6020000}"/>
    <cellStyle name="Good 9" xfId="739" xr:uid="{00000000-0005-0000-0000-0000E7020000}"/>
    <cellStyle name="Heading 1 10" xfId="740" xr:uid="{00000000-0005-0000-0000-0000E8020000}"/>
    <cellStyle name="Heading 1 11" xfId="741" xr:uid="{00000000-0005-0000-0000-0000E9020000}"/>
    <cellStyle name="Heading 1 12" xfId="742" xr:uid="{00000000-0005-0000-0000-0000EA020000}"/>
    <cellStyle name="Heading 1 13" xfId="743" xr:uid="{00000000-0005-0000-0000-0000EB020000}"/>
    <cellStyle name="Heading 1 14" xfId="744" xr:uid="{00000000-0005-0000-0000-0000EC020000}"/>
    <cellStyle name="Heading 1 15" xfId="745" xr:uid="{00000000-0005-0000-0000-0000ED020000}"/>
    <cellStyle name="Heading 1 16" xfId="746" xr:uid="{00000000-0005-0000-0000-0000EE020000}"/>
    <cellStyle name="Heading 1 17" xfId="747" xr:uid="{00000000-0005-0000-0000-0000EF020000}"/>
    <cellStyle name="Heading 1 18" xfId="748" xr:uid="{00000000-0005-0000-0000-0000F0020000}"/>
    <cellStyle name="Heading 1 19" xfId="749" xr:uid="{00000000-0005-0000-0000-0000F1020000}"/>
    <cellStyle name="Heading 1 2" xfId="750" xr:uid="{00000000-0005-0000-0000-0000F2020000}"/>
    <cellStyle name="Heading 1 20" xfId="751" xr:uid="{00000000-0005-0000-0000-0000F3020000}"/>
    <cellStyle name="Heading 1 21" xfId="752" xr:uid="{00000000-0005-0000-0000-0000F4020000}"/>
    <cellStyle name="Heading 1 22" xfId="753" xr:uid="{00000000-0005-0000-0000-0000F5020000}"/>
    <cellStyle name="Heading 1 23" xfId="754" xr:uid="{00000000-0005-0000-0000-0000F6020000}"/>
    <cellStyle name="Heading 1 24" xfId="755" xr:uid="{00000000-0005-0000-0000-0000F7020000}"/>
    <cellStyle name="Heading 1 25" xfId="756" xr:uid="{00000000-0005-0000-0000-0000F8020000}"/>
    <cellStyle name="Heading 1 26" xfId="757" xr:uid="{00000000-0005-0000-0000-0000F9020000}"/>
    <cellStyle name="Heading 1 27" xfId="758" xr:uid="{00000000-0005-0000-0000-0000FA020000}"/>
    <cellStyle name="Heading 1 28" xfId="759" xr:uid="{00000000-0005-0000-0000-0000FB020000}"/>
    <cellStyle name="Heading 1 29" xfId="760" xr:uid="{00000000-0005-0000-0000-0000FC020000}"/>
    <cellStyle name="Heading 1 3" xfId="761" xr:uid="{00000000-0005-0000-0000-0000FD020000}"/>
    <cellStyle name="Heading 1 31" xfId="762" xr:uid="{00000000-0005-0000-0000-0000FE020000}"/>
    <cellStyle name="Heading 1 4" xfId="763" xr:uid="{00000000-0005-0000-0000-0000FF020000}"/>
    <cellStyle name="Heading 1 5" xfId="764" xr:uid="{00000000-0005-0000-0000-000000030000}"/>
    <cellStyle name="Heading 1 6" xfId="765" xr:uid="{00000000-0005-0000-0000-000001030000}"/>
    <cellStyle name="Heading 1 7" xfId="766" xr:uid="{00000000-0005-0000-0000-000002030000}"/>
    <cellStyle name="Heading 1 8" xfId="767" xr:uid="{00000000-0005-0000-0000-000003030000}"/>
    <cellStyle name="Heading 1 9" xfId="768" xr:uid="{00000000-0005-0000-0000-000004030000}"/>
    <cellStyle name="Heading 2 10" xfId="769" xr:uid="{00000000-0005-0000-0000-000005030000}"/>
    <cellStyle name="Heading 2 11" xfId="770" xr:uid="{00000000-0005-0000-0000-000006030000}"/>
    <cellStyle name="Heading 2 12" xfId="771" xr:uid="{00000000-0005-0000-0000-000007030000}"/>
    <cellStyle name="Heading 2 13" xfId="772" xr:uid="{00000000-0005-0000-0000-000008030000}"/>
    <cellStyle name="Heading 2 14" xfId="773" xr:uid="{00000000-0005-0000-0000-000009030000}"/>
    <cellStyle name="Heading 2 15" xfId="774" xr:uid="{00000000-0005-0000-0000-00000A030000}"/>
    <cellStyle name="Heading 2 16" xfId="775" xr:uid="{00000000-0005-0000-0000-00000B030000}"/>
    <cellStyle name="Heading 2 17" xfId="776" xr:uid="{00000000-0005-0000-0000-00000C030000}"/>
    <cellStyle name="Heading 2 18" xfId="777" xr:uid="{00000000-0005-0000-0000-00000D030000}"/>
    <cellStyle name="Heading 2 19" xfId="778" xr:uid="{00000000-0005-0000-0000-00000E030000}"/>
    <cellStyle name="Heading 2 2" xfId="779" xr:uid="{00000000-0005-0000-0000-00000F030000}"/>
    <cellStyle name="Heading 2 20" xfId="780" xr:uid="{00000000-0005-0000-0000-000010030000}"/>
    <cellStyle name="Heading 2 21" xfId="781" xr:uid="{00000000-0005-0000-0000-000011030000}"/>
    <cellStyle name="Heading 2 22" xfId="782" xr:uid="{00000000-0005-0000-0000-000012030000}"/>
    <cellStyle name="Heading 2 23" xfId="783" xr:uid="{00000000-0005-0000-0000-000013030000}"/>
    <cellStyle name="Heading 2 24" xfId="784" xr:uid="{00000000-0005-0000-0000-000014030000}"/>
    <cellStyle name="Heading 2 25" xfId="785" xr:uid="{00000000-0005-0000-0000-000015030000}"/>
    <cellStyle name="Heading 2 26" xfId="786" xr:uid="{00000000-0005-0000-0000-000016030000}"/>
    <cellStyle name="Heading 2 27" xfId="787" xr:uid="{00000000-0005-0000-0000-000017030000}"/>
    <cellStyle name="Heading 2 28" xfId="788" xr:uid="{00000000-0005-0000-0000-000018030000}"/>
    <cellStyle name="Heading 2 29" xfId="789" xr:uid="{00000000-0005-0000-0000-000019030000}"/>
    <cellStyle name="Heading 2 3" xfId="790" xr:uid="{00000000-0005-0000-0000-00001A030000}"/>
    <cellStyle name="Heading 2 32" xfId="791" xr:uid="{00000000-0005-0000-0000-00001B030000}"/>
    <cellStyle name="Heading 2 4" xfId="792" xr:uid="{00000000-0005-0000-0000-00001C030000}"/>
    <cellStyle name="Heading 2 5" xfId="793" xr:uid="{00000000-0005-0000-0000-00001D030000}"/>
    <cellStyle name="Heading 2 6" xfId="794" xr:uid="{00000000-0005-0000-0000-00001E030000}"/>
    <cellStyle name="Heading 2 7" xfId="795" xr:uid="{00000000-0005-0000-0000-00001F030000}"/>
    <cellStyle name="Heading 2 8" xfId="796" xr:uid="{00000000-0005-0000-0000-000020030000}"/>
    <cellStyle name="Heading 2 9" xfId="797" xr:uid="{00000000-0005-0000-0000-000021030000}"/>
    <cellStyle name="Heading 3" xfId="798" xr:uid="{00000000-0005-0000-0000-000022030000}"/>
    <cellStyle name="Heading 3 10" xfId="799" xr:uid="{00000000-0005-0000-0000-000023030000}"/>
    <cellStyle name="Heading 3 11" xfId="800" xr:uid="{00000000-0005-0000-0000-000024030000}"/>
    <cellStyle name="Heading 3 12" xfId="801" xr:uid="{00000000-0005-0000-0000-000025030000}"/>
    <cellStyle name="Heading 3 13" xfId="802" xr:uid="{00000000-0005-0000-0000-000026030000}"/>
    <cellStyle name="Heading 3 14" xfId="803" xr:uid="{00000000-0005-0000-0000-000027030000}"/>
    <cellStyle name="Heading 3 15" xfId="804" xr:uid="{00000000-0005-0000-0000-000028030000}"/>
    <cellStyle name="Heading 3 16" xfId="805" xr:uid="{00000000-0005-0000-0000-000029030000}"/>
    <cellStyle name="Heading 3 17" xfId="806" xr:uid="{00000000-0005-0000-0000-00002A030000}"/>
    <cellStyle name="Heading 3 18" xfId="807" xr:uid="{00000000-0005-0000-0000-00002B030000}"/>
    <cellStyle name="Heading 3 19" xfId="808" xr:uid="{00000000-0005-0000-0000-00002C030000}"/>
    <cellStyle name="Heading 3 2" xfId="809" xr:uid="{00000000-0005-0000-0000-00002D030000}"/>
    <cellStyle name="Heading 3 20" xfId="810" xr:uid="{00000000-0005-0000-0000-00002E030000}"/>
    <cellStyle name="Heading 3 21" xfId="811" xr:uid="{00000000-0005-0000-0000-00002F030000}"/>
    <cellStyle name="Heading 3 22" xfId="812" xr:uid="{00000000-0005-0000-0000-000030030000}"/>
    <cellStyle name="Heading 3 23" xfId="813" xr:uid="{00000000-0005-0000-0000-000031030000}"/>
    <cellStyle name="Heading 3 24" xfId="814" xr:uid="{00000000-0005-0000-0000-000032030000}"/>
    <cellStyle name="Heading 3 25" xfId="815" xr:uid="{00000000-0005-0000-0000-000033030000}"/>
    <cellStyle name="Heading 3 26" xfId="816" xr:uid="{00000000-0005-0000-0000-000034030000}"/>
    <cellStyle name="Heading 3 27" xfId="817" xr:uid="{00000000-0005-0000-0000-000035030000}"/>
    <cellStyle name="Heading 3 28" xfId="818" xr:uid="{00000000-0005-0000-0000-000036030000}"/>
    <cellStyle name="Heading 3 29" xfId="819" xr:uid="{00000000-0005-0000-0000-000037030000}"/>
    <cellStyle name="Heading 3 3" xfId="820" xr:uid="{00000000-0005-0000-0000-000038030000}"/>
    <cellStyle name="Heading 3 4" xfId="821" xr:uid="{00000000-0005-0000-0000-000039030000}"/>
    <cellStyle name="Heading 3 5" xfId="822" xr:uid="{00000000-0005-0000-0000-00003A030000}"/>
    <cellStyle name="Heading 3 6" xfId="823" xr:uid="{00000000-0005-0000-0000-00003B030000}"/>
    <cellStyle name="Heading 3 7" xfId="824" xr:uid="{00000000-0005-0000-0000-00003C030000}"/>
    <cellStyle name="Heading 3 8" xfId="825" xr:uid="{00000000-0005-0000-0000-00003D030000}"/>
    <cellStyle name="Heading 3 9" xfId="826" xr:uid="{00000000-0005-0000-0000-00003E030000}"/>
    <cellStyle name="Heading 4" xfId="827" xr:uid="{00000000-0005-0000-0000-00003F030000}"/>
    <cellStyle name="Heading 4 10" xfId="828" xr:uid="{00000000-0005-0000-0000-000040030000}"/>
    <cellStyle name="Heading 4 11" xfId="829" xr:uid="{00000000-0005-0000-0000-000041030000}"/>
    <cellStyle name="Heading 4 12" xfId="830" xr:uid="{00000000-0005-0000-0000-000042030000}"/>
    <cellStyle name="Heading 4 13" xfId="831" xr:uid="{00000000-0005-0000-0000-000043030000}"/>
    <cellStyle name="Heading 4 14" xfId="832" xr:uid="{00000000-0005-0000-0000-000044030000}"/>
    <cellStyle name="Heading 4 15" xfId="833" xr:uid="{00000000-0005-0000-0000-000045030000}"/>
    <cellStyle name="Heading 4 16" xfId="834" xr:uid="{00000000-0005-0000-0000-000046030000}"/>
    <cellStyle name="Heading 4 17" xfId="835" xr:uid="{00000000-0005-0000-0000-000047030000}"/>
    <cellStyle name="Heading 4 18" xfId="836" xr:uid="{00000000-0005-0000-0000-000048030000}"/>
    <cellStyle name="Heading 4 19" xfId="837" xr:uid="{00000000-0005-0000-0000-000049030000}"/>
    <cellStyle name="Heading 4 2" xfId="838" xr:uid="{00000000-0005-0000-0000-00004A030000}"/>
    <cellStyle name="Heading 4 20" xfId="839" xr:uid="{00000000-0005-0000-0000-00004B030000}"/>
    <cellStyle name="Heading 4 21" xfId="840" xr:uid="{00000000-0005-0000-0000-00004C030000}"/>
    <cellStyle name="Heading 4 22" xfId="841" xr:uid="{00000000-0005-0000-0000-00004D030000}"/>
    <cellStyle name="Heading 4 23" xfId="842" xr:uid="{00000000-0005-0000-0000-00004E030000}"/>
    <cellStyle name="Heading 4 24" xfId="843" xr:uid="{00000000-0005-0000-0000-00004F030000}"/>
    <cellStyle name="Heading 4 25" xfId="844" xr:uid="{00000000-0005-0000-0000-000050030000}"/>
    <cellStyle name="Heading 4 26" xfId="845" xr:uid="{00000000-0005-0000-0000-000051030000}"/>
    <cellStyle name="Heading 4 27" xfId="846" xr:uid="{00000000-0005-0000-0000-000052030000}"/>
    <cellStyle name="Heading 4 28" xfId="847" xr:uid="{00000000-0005-0000-0000-000053030000}"/>
    <cellStyle name="Heading 4 29" xfId="848" xr:uid="{00000000-0005-0000-0000-000054030000}"/>
    <cellStyle name="Heading 4 3" xfId="849" xr:uid="{00000000-0005-0000-0000-000055030000}"/>
    <cellStyle name="Heading 4 4" xfId="850" xr:uid="{00000000-0005-0000-0000-000056030000}"/>
    <cellStyle name="Heading 4 5" xfId="851" xr:uid="{00000000-0005-0000-0000-000057030000}"/>
    <cellStyle name="Heading 4 6" xfId="852" xr:uid="{00000000-0005-0000-0000-000058030000}"/>
    <cellStyle name="Heading 4 7" xfId="853" xr:uid="{00000000-0005-0000-0000-000059030000}"/>
    <cellStyle name="Heading 4 8" xfId="854" xr:uid="{00000000-0005-0000-0000-00005A030000}"/>
    <cellStyle name="Heading 4 9" xfId="855" xr:uid="{00000000-0005-0000-0000-00005B030000}"/>
    <cellStyle name="Hipervínculo 2" xfId="856" xr:uid="{00000000-0005-0000-0000-00005C030000}"/>
    <cellStyle name="Input" xfId="857" xr:uid="{00000000-0005-0000-0000-00005D030000}"/>
    <cellStyle name="Input 10" xfId="858" xr:uid="{00000000-0005-0000-0000-00005E030000}"/>
    <cellStyle name="Input 11" xfId="859" xr:uid="{00000000-0005-0000-0000-00005F030000}"/>
    <cellStyle name="Input 12" xfId="860" xr:uid="{00000000-0005-0000-0000-000060030000}"/>
    <cellStyle name="Input 13" xfId="861" xr:uid="{00000000-0005-0000-0000-000061030000}"/>
    <cellStyle name="Input 14" xfId="862" xr:uid="{00000000-0005-0000-0000-000062030000}"/>
    <cellStyle name="Input 15" xfId="863" xr:uid="{00000000-0005-0000-0000-000063030000}"/>
    <cellStyle name="Input 16" xfId="864" xr:uid="{00000000-0005-0000-0000-000064030000}"/>
    <cellStyle name="Input 17" xfId="865" xr:uid="{00000000-0005-0000-0000-000065030000}"/>
    <cellStyle name="Input 18" xfId="866" xr:uid="{00000000-0005-0000-0000-000066030000}"/>
    <cellStyle name="Input 19" xfId="867" xr:uid="{00000000-0005-0000-0000-000067030000}"/>
    <cellStyle name="Input 2" xfId="868" xr:uid="{00000000-0005-0000-0000-000068030000}"/>
    <cellStyle name="Input 20" xfId="869" xr:uid="{00000000-0005-0000-0000-000069030000}"/>
    <cellStyle name="Input 21" xfId="870" xr:uid="{00000000-0005-0000-0000-00006A030000}"/>
    <cellStyle name="Input 22" xfId="871" xr:uid="{00000000-0005-0000-0000-00006B030000}"/>
    <cellStyle name="Input 23" xfId="872" xr:uid="{00000000-0005-0000-0000-00006C030000}"/>
    <cellStyle name="Input 24" xfId="873" xr:uid="{00000000-0005-0000-0000-00006D030000}"/>
    <cellStyle name="Input 25" xfId="874" xr:uid="{00000000-0005-0000-0000-00006E030000}"/>
    <cellStyle name="Input 26" xfId="875" xr:uid="{00000000-0005-0000-0000-00006F030000}"/>
    <cellStyle name="Input 27" xfId="876" xr:uid="{00000000-0005-0000-0000-000070030000}"/>
    <cellStyle name="Input 28" xfId="877" xr:uid="{00000000-0005-0000-0000-000071030000}"/>
    <cellStyle name="Input 29" xfId="878" xr:uid="{00000000-0005-0000-0000-000072030000}"/>
    <cellStyle name="Input 3" xfId="879" xr:uid="{00000000-0005-0000-0000-000073030000}"/>
    <cellStyle name="Input 4" xfId="880" xr:uid="{00000000-0005-0000-0000-000074030000}"/>
    <cellStyle name="Input 5" xfId="881" xr:uid="{00000000-0005-0000-0000-000075030000}"/>
    <cellStyle name="Input 6" xfId="882" xr:uid="{00000000-0005-0000-0000-000076030000}"/>
    <cellStyle name="Input 7" xfId="883" xr:uid="{00000000-0005-0000-0000-000077030000}"/>
    <cellStyle name="Input 8" xfId="884" xr:uid="{00000000-0005-0000-0000-000078030000}"/>
    <cellStyle name="Input 9" xfId="885" xr:uid="{00000000-0005-0000-0000-000079030000}"/>
    <cellStyle name="Linked Cell" xfId="886" xr:uid="{00000000-0005-0000-0000-00007A030000}"/>
    <cellStyle name="Linked Cell 10" xfId="887" xr:uid="{00000000-0005-0000-0000-00007B030000}"/>
    <cellStyle name="Linked Cell 11" xfId="888" xr:uid="{00000000-0005-0000-0000-00007C030000}"/>
    <cellStyle name="Linked Cell 12" xfId="889" xr:uid="{00000000-0005-0000-0000-00007D030000}"/>
    <cellStyle name="Linked Cell 13" xfId="890" xr:uid="{00000000-0005-0000-0000-00007E030000}"/>
    <cellStyle name="Linked Cell 14" xfId="891" xr:uid="{00000000-0005-0000-0000-00007F030000}"/>
    <cellStyle name="Linked Cell 15" xfId="892" xr:uid="{00000000-0005-0000-0000-000080030000}"/>
    <cellStyle name="Linked Cell 16" xfId="893" xr:uid="{00000000-0005-0000-0000-000081030000}"/>
    <cellStyle name="Linked Cell 17" xfId="894" xr:uid="{00000000-0005-0000-0000-000082030000}"/>
    <cellStyle name="Linked Cell 18" xfId="895" xr:uid="{00000000-0005-0000-0000-000083030000}"/>
    <cellStyle name="Linked Cell 19" xfId="896" xr:uid="{00000000-0005-0000-0000-000084030000}"/>
    <cellStyle name="Linked Cell 2" xfId="897" xr:uid="{00000000-0005-0000-0000-000085030000}"/>
    <cellStyle name="Linked Cell 20" xfId="898" xr:uid="{00000000-0005-0000-0000-000086030000}"/>
    <cellStyle name="Linked Cell 21" xfId="899" xr:uid="{00000000-0005-0000-0000-000087030000}"/>
    <cellStyle name="Linked Cell 22" xfId="900" xr:uid="{00000000-0005-0000-0000-000088030000}"/>
    <cellStyle name="Linked Cell 23" xfId="901" xr:uid="{00000000-0005-0000-0000-000089030000}"/>
    <cellStyle name="Linked Cell 24" xfId="902" xr:uid="{00000000-0005-0000-0000-00008A030000}"/>
    <cellStyle name="Linked Cell 25" xfId="903" xr:uid="{00000000-0005-0000-0000-00008B030000}"/>
    <cellStyle name="Linked Cell 26" xfId="904" xr:uid="{00000000-0005-0000-0000-00008C030000}"/>
    <cellStyle name="Linked Cell 27" xfId="905" xr:uid="{00000000-0005-0000-0000-00008D030000}"/>
    <cellStyle name="Linked Cell 28" xfId="906" xr:uid="{00000000-0005-0000-0000-00008E030000}"/>
    <cellStyle name="Linked Cell 29" xfId="907" xr:uid="{00000000-0005-0000-0000-00008F030000}"/>
    <cellStyle name="Linked Cell 3" xfId="908" xr:uid="{00000000-0005-0000-0000-000090030000}"/>
    <cellStyle name="Linked Cell 4" xfId="909" xr:uid="{00000000-0005-0000-0000-000091030000}"/>
    <cellStyle name="Linked Cell 5" xfId="910" xr:uid="{00000000-0005-0000-0000-000092030000}"/>
    <cellStyle name="Linked Cell 6" xfId="911" xr:uid="{00000000-0005-0000-0000-000093030000}"/>
    <cellStyle name="Linked Cell 7" xfId="912" xr:uid="{00000000-0005-0000-0000-000094030000}"/>
    <cellStyle name="Linked Cell 8" xfId="913" xr:uid="{00000000-0005-0000-0000-000095030000}"/>
    <cellStyle name="Linked Cell 9" xfId="914" xr:uid="{00000000-0005-0000-0000-000096030000}"/>
    <cellStyle name="Millares 10" xfId="915" xr:uid="{00000000-0005-0000-0000-000097030000}"/>
    <cellStyle name="Millares 11" xfId="916" xr:uid="{00000000-0005-0000-0000-000098030000}"/>
    <cellStyle name="Millares 12" xfId="917" xr:uid="{00000000-0005-0000-0000-000099030000}"/>
    <cellStyle name="Millares 12 2" xfId="918" xr:uid="{00000000-0005-0000-0000-00009A030000}"/>
    <cellStyle name="Millares 12 3" xfId="919" xr:uid="{00000000-0005-0000-0000-00009B030000}"/>
    <cellStyle name="Millares 12 4" xfId="920" xr:uid="{00000000-0005-0000-0000-00009C030000}"/>
    <cellStyle name="Millares 13" xfId="921" xr:uid="{00000000-0005-0000-0000-00009D030000}"/>
    <cellStyle name="Millares 13 10" xfId="922" xr:uid="{00000000-0005-0000-0000-00009E030000}"/>
    <cellStyle name="Millares 13 11" xfId="923" xr:uid="{00000000-0005-0000-0000-00009F030000}"/>
    <cellStyle name="Millares 13 12" xfId="924" xr:uid="{00000000-0005-0000-0000-0000A0030000}"/>
    <cellStyle name="Millares 13 13" xfId="925" xr:uid="{00000000-0005-0000-0000-0000A1030000}"/>
    <cellStyle name="Millares 13 14" xfId="926" xr:uid="{00000000-0005-0000-0000-0000A2030000}"/>
    <cellStyle name="Millares 13 15" xfId="927" xr:uid="{00000000-0005-0000-0000-0000A3030000}"/>
    <cellStyle name="Millares 13 16" xfId="928" xr:uid="{00000000-0005-0000-0000-0000A4030000}"/>
    <cellStyle name="Millares 13 2" xfId="929" xr:uid="{00000000-0005-0000-0000-0000A5030000}"/>
    <cellStyle name="Millares 13 3" xfId="930" xr:uid="{00000000-0005-0000-0000-0000A6030000}"/>
    <cellStyle name="Millares 13 4" xfId="931" xr:uid="{00000000-0005-0000-0000-0000A7030000}"/>
    <cellStyle name="Millares 13 5" xfId="932" xr:uid="{00000000-0005-0000-0000-0000A8030000}"/>
    <cellStyle name="Millares 13 6" xfId="933" xr:uid="{00000000-0005-0000-0000-0000A9030000}"/>
    <cellStyle name="Millares 13 7" xfId="934" xr:uid="{00000000-0005-0000-0000-0000AA030000}"/>
    <cellStyle name="Millares 13 8" xfId="935" xr:uid="{00000000-0005-0000-0000-0000AB030000}"/>
    <cellStyle name="Millares 13 9" xfId="936" xr:uid="{00000000-0005-0000-0000-0000AC030000}"/>
    <cellStyle name="Millares 14" xfId="937" xr:uid="{00000000-0005-0000-0000-0000AD030000}"/>
    <cellStyle name="Millares 15" xfId="938" xr:uid="{00000000-0005-0000-0000-0000AE030000}"/>
    <cellStyle name="Millares 16" xfId="939" xr:uid="{00000000-0005-0000-0000-0000AF030000}"/>
    <cellStyle name="Millares 19" xfId="940" xr:uid="{00000000-0005-0000-0000-0000B0030000}"/>
    <cellStyle name="Millares 19 2" xfId="941" xr:uid="{00000000-0005-0000-0000-0000B1030000}"/>
    <cellStyle name="Millares 19 3" xfId="942" xr:uid="{00000000-0005-0000-0000-0000B2030000}"/>
    <cellStyle name="Millares 19 4" xfId="943" xr:uid="{00000000-0005-0000-0000-0000B3030000}"/>
    <cellStyle name="Millares 2" xfId="944" xr:uid="{00000000-0005-0000-0000-0000B4030000}"/>
    <cellStyle name="Millares 2 2" xfId="945" xr:uid="{00000000-0005-0000-0000-0000B5030000}"/>
    <cellStyle name="Millares 2 2 2" xfId="946" xr:uid="{00000000-0005-0000-0000-0000B6030000}"/>
    <cellStyle name="Millares 2 2 3" xfId="947" xr:uid="{00000000-0005-0000-0000-0000B7030000}"/>
    <cellStyle name="Millares 2 2 4" xfId="948" xr:uid="{00000000-0005-0000-0000-0000B8030000}"/>
    <cellStyle name="Millares 2 2 5" xfId="949" xr:uid="{00000000-0005-0000-0000-0000B9030000}"/>
    <cellStyle name="Millares 2 2 6" xfId="950" xr:uid="{00000000-0005-0000-0000-0000BA030000}"/>
    <cellStyle name="Millares 2 2 7" xfId="951" xr:uid="{00000000-0005-0000-0000-0000BB030000}"/>
    <cellStyle name="Millares 2 3" xfId="952" xr:uid="{00000000-0005-0000-0000-0000BC030000}"/>
    <cellStyle name="Millares 2_FormatoAPUyAdministración_20110623162925.939_X" xfId="971" xr:uid="{00000000-0005-0000-0000-0000CF030000}"/>
    <cellStyle name="Millares 20" xfId="953" xr:uid="{00000000-0005-0000-0000-0000BD030000}"/>
    <cellStyle name="Millares 20 2" xfId="954" xr:uid="{00000000-0005-0000-0000-0000BE030000}"/>
    <cellStyle name="Millares 20 3" xfId="955" xr:uid="{00000000-0005-0000-0000-0000BF030000}"/>
    <cellStyle name="Millares 20 4" xfId="956" xr:uid="{00000000-0005-0000-0000-0000C0030000}"/>
    <cellStyle name="Millares 21" xfId="957" xr:uid="{00000000-0005-0000-0000-0000C1030000}"/>
    <cellStyle name="Millares 21 2" xfId="958" xr:uid="{00000000-0005-0000-0000-0000C2030000}"/>
    <cellStyle name="Millares 22" xfId="959" xr:uid="{00000000-0005-0000-0000-0000C3030000}"/>
    <cellStyle name="Millares 22 2" xfId="960" xr:uid="{00000000-0005-0000-0000-0000C4030000}"/>
    <cellStyle name="Millares 22 3" xfId="961" xr:uid="{00000000-0005-0000-0000-0000C5030000}"/>
    <cellStyle name="Millares 22 4" xfId="962" xr:uid="{00000000-0005-0000-0000-0000C6030000}"/>
    <cellStyle name="Millares 23" xfId="963" xr:uid="{00000000-0005-0000-0000-0000C7030000}"/>
    <cellStyle name="Millares 23 2" xfId="964" xr:uid="{00000000-0005-0000-0000-0000C8030000}"/>
    <cellStyle name="Millares 23 3" xfId="965" xr:uid="{00000000-0005-0000-0000-0000C9030000}"/>
    <cellStyle name="Millares 23 4" xfId="966" xr:uid="{00000000-0005-0000-0000-0000CA030000}"/>
    <cellStyle name="Millares 24" xfId="967" xr:uid="{00000000-0005-0000-0000-0000CB030000}"/>
    <cellStyle name="Millares 24 2" xfId="968" xr:uid="{00000000-0005-0000-0000-0000CC030000}"/>
    <cellStyle name="Millares 24 3" xfId="969" xr:uid="{00000000-0005-0000-0000-0000CD030000}"/>
    <cellStyle name="Millares 24 4" xfId="970" xr:uid="{00000000-0005-0000-0000-0000CE030000}"/>
    <cellStyle name="Millares 3" xfId="972" xr:uid="{00000000-0005-0000-0000-0000D0030000}"/>
    <cellStyle name="Millares 3 10" xfId="973" xr:uid="{00000000-0005-0000-0000-0000D1030000}"/>
    <cellStyle name="Millares 3 11" xfId="974" xr:uid="{00000000-0005-0000-0000-0000D2030000}"/>
    <cellStyle name="Millares 3 12" xfId="975" xr:uid="{00000000-0005-0000-0000-0000D3030000}"/>
    <cellStyle name="Millares 3 13" xfId="976" xr:uid="{00000000-0005-0000-0000-0000D4030000}"/>
    <cellStyle name="Millares 3 14" xfId="977" xr:uid="{00000000-0005-0000-0000-0000D5030000}"/>
    <cellStyle name="Millares 3 15" xfId="978" xr:uid="{00000000-0005-0000-0000-0000D6030000}"/>
    <cellStyle name="Millares 3 16" xfId="979" xr:uid="{00000000-0005-0000-0000-0000D7030000}"/>
    <cellStyle name="Millares 3 2" xfId="980" xr:uid="{00000000-0005-0000-0000-0000D8030000}"/>
    <cellStyle name="Millares 3 3" xfId="981" xr:uid="{00000000-0005-0000-0000-0000D9030000}"/>
    <cellStyle name="Millares 3 4" xfId="982" xr:uid="{00000000-0005-0000-0000-0000DA030000}"/>
    <cellStyle name="Millares 3 5" xfId="983" xr:uid="{00000000-0005-0000-0000-0000DB030000}"/>
    <cellStyle name="Millares 3 6" xfId="984" xr:uid="{00000000-0005-0000-0000-0000DC030000}"/>
    <cellStyle name="Millares 3 7" xfId="985" xr:uid="{00000000-0005-0000-0000-0000DD030000}"/>
    <cellStyle name="Millares 3 8" xfId="986" xr:uid="{00000000-0005-0000-0000-0000DE030000}"/>
    <cellStyle name="Millares 3 9" xfId="987" xr:uid="{00000000-0005-0000-0000-0000DF030000}"/>
    <cellStyle name="Millares 4" xfId="988" xr:uid="{00000000-0005-0000-0000-0000E0030000}"/>
    <cellStyle name="Millares 4 10" xfId="989" xr:uid="{00000000-0005-0000-0000-0000E1030000}"/>
    <cellStyle name="Millares 4 11" xfId="990" xr:uid="{00000000-0005-0000-0000-0000E2030000}"/>
    <cellStyle name="Millares 4 12" xfId="991" xr:uid="{00000000-0005-0000-0000-0000E3030000}"/>
    <cellStyle name="Millares 4 13" xfId="992" xr:uid="{00000000-0005-0000-0000-0000E4030000}"/>
    <cellStyle name="Millares 4 14" xfId="993" xr:uid="{00000000-0005-0000-0000-0000E5030000}"/>
    <cellStyle name="Millares 4 15" xfId="994" xr:uid="{00000000-0005-0000-0000-0000E6030000}"/>
    <cellStyle name="Millares 4 16" xfId="995" xr:uid="{00000000-0005-0000-0000-0000E7030000}"/>
    <cellStyle name="Millares 4 17" xfId="996" xr:uid="{00000000-0005-0000-0000-0000E8030000}"/>
    <cellStyle name="Millares 4 18" xfId="997" xr:uid="{00000000-0005-0000-0000-0000E9030000}"/>
    <cellStyle name="Millares 4 19" xfId="998" xr:uid="{00000000-0005-0000-0000-0000EA030000}"/>
    <cellStyle name="Millares 4 2" xfId="999" xr:uid="{00000000-0005-0000-0000-0000EB030000}"/>
    <cellStyle name="Millares 4 20" xfId="1000" xr:uid="{00000000-0005-0000-0000-0000EC030000}"/>
    <cellStyle name="Millares 4 21" xfId="1001" xr:uid="{00000000-0005-0000-0000-0000ED030000}"/>
    <cellStyle name="Millares 4 22" xfId="1002" xr:uid="{00000000-0005-0000-0000-0000EE030000}"/>
    <cellStyle name="Millares 4 23" xfId="1003" xr:uid="{00000000-0005-0000-0000-0000EF030000}"/>
    <cellStyle name="Millares 4 24" xfId="1004" xr:uid="{00000000-0005-0000-0000-0000F0030000}"/>
    <cellStyle name="Millares 4 25" xfId="1005" xr:uid="{00000000-0005-0000-0000-0000F1030000}"/>
    <cellStyle name="Millares 4 26" xfId="1006" xr:uid="{00000000-0005-0000-0000-0000F2030000}"/>
    <cellStyle name="Millares 4 27" xfId="1007" xr:uid="{00000000-0005-0000-0000-0000F3030000}"/>
    <cellStyle name="Millares 4 28" xfId="1008" xr:uid="{00000000-0005-0000-0000-0000F4030000}"/>
    <cellStyle name="Millares 4 29" xfId="1009" xr:uid="{00000000-0005-0000-0000-0000F5030000}"/>
    <cellStyle name="Millares 4 3" xfId="1010" xr:uid="{00000000-0005-0000-0000-0000F6030000}"/>
    <cellStyle name="Millares 4 30" xfId="1011" xr:uid="{00000000-0005-0000-0000-0000F7030000}"/>
    <cellStyle name="Millares 4 4" xfId="1012" xr:uid="{00000000-0005-0000-0000-0000F8030000}"/>
    <cellStyle name="Millares 4 5" xfId="1013" xr:uid="{00000000-0005-0000-0000-0000F9030000}"/>
    <cellStyle name="Millares 4 6" xfId="1014" xr:uid="{00000000-0005-0000-0000-0000FA030000}"/>
    <cellStyle name="Millares 4 7" xfId="1015" xr:uid="{00000000-0005-0000-0000-0000FB030000}"/>
    <cellStyle name="Millares 4 8" xfId="1016" xr:uid="{00000000-0005-0000-0000-0000FC030000}"/>
    <cellStyle name="Millares 4 9" xfId="1017" xr:uid="{00000000-0005-0000-0000-0000FD030000}"/>
    <cellStyle name="Millares 44" xfId="1018" xr:uid="{00000000-0005-0000-0000-0000FE030000}"/>
    <cellStyle name="Millares 5" xfId="1019" xr:uid="{00000000-0005-0000-0000-0000FF030000}"/>
    <cellStyle name="Millares 6" xfId="1020" xr:uid="{00000000-0005-0000-0000-000000040000}"/>
    <cellStyle name="Millares 7" xfId="1021" xr:uid="{00000000-0005-0000-0000-000001040000}"/>
    <cellStyle name="Millares 8" xfId="1022" xr:uid="{00000000-0005-0000-0000-000002040000}"/>
    <cellStyle name="Millares 9" xfId="1023" xr:uid="{00000000-0005-0000-0000-000003040000}"/>
    <cellStyle name="Moneda [0] 2" xfId="1064" xr:uid="{00000000-0005-0000-0000-00002C040000}"/>
    <cellStyle name="Moneda [0] 2 10" xfId="1065" xr:uid="{00000000-0005-0000-0000-00002D040000}"/>
    <cellStyle name="Moneda [0] 2 11" xfId="1066" xr:uid="{00000000-0005-0000-0000-00002E040000}"/>
    <cellStyle name="Moneda [0] 2 12" xfId="1067" xr:uid="{00000000-0005-0000-0000-00002F040000}"/>
    <cellStyle name="Moneda [0] 2 13" xfId="1068" xr:uid="{00000000-0005-0000-0000-000030040000}"/>
    <cellStyle name="Moneda [0] 2 14" xfId="1069" xr:uid="{00000000-0005-0000-0000-000031040000}"/>
    <cellStyle name="Moneda [0] 2 15" xfId="1070" xr:uid="{00000000-0005-0000-0000-000032040000}"/>
    <cellStyle name="Moneda [0] 2 16" xfId="1071" xr:uid="{00000000-0005-0000-0000-000033040000}"/>
    <cellStyle name="Moneda [0] 2 2" xfId="1072" xr:uid="{00000000-0005-0000-0000-000034040000}"/>
    <cellStyle name="Moneda [0] 2 3" xfId="1073" xr:uid="{00000000-0005-0000-0000-000035040000}"/>
    <cellStyle name="Moneda [0] 2 4" xfId="1074" xr:uid="{00000000-0005-0000-0000-000036040000}"/>
    <cellStyle name="Moneda [0] 2 5" xfId="1075" xr:uid="{00000000-0005-0000-0000-000037040000}"/>
    <cellStyle name="Moneda [0] 2 6" xfId="1076" xr:uid="{00000000-0005-0000-0000-000038040000}"/>
    <cellStyle name="Moneda [0] 2 7" xfId="1077" xr:uid="{00000000-0005-0000-0000-000039040000}"/>
    <cellStyle name="Moneda [0] 2 8" xfId="1078" xr:uid="{00000000-0005-0000-0000-00003A040000}"/>
    <cellStyle name="Moneda [0] 2 9" xfId="1079" xr:uid="{00000000-0005-0000-0000-00003B040000}"/>
    <cellStyle name="Moneda 2" xfId="1024" xr:uid="{00000000-0005-0000-0000-000004040000}"/>
    <cellStyle name="Moneda 2 2" xfId="1025" xr:uid="{00000000-0005-0000-0000-000005040000}"/>
    <cellStyle name="Moneda 2_Formato APUs " xfId="1026" xr:uid="{00000000-0005-0000-0000-000006040000}"/>
    <cellStyle name="Moneda 3" xfId="1027" xr:uid="{00000000-0005-0000-0000-000007040000}"/>
    <cellStyle name="Moneda 3 10" xfId="1028" xr:uid="{00000000-0005-0000-0000-000008040000}"/>
    <cellStyle name="Moneda 3 11" xfId="1029" xr:uid="{00000000-0005-0000-0000-000009040000}"/>
    <cellStyle name="Moneda 3 12" xfId="1030" xr:uid="{00000000-0005-0000-0000-00000A040000}"/>
    <cellStyle name="Moneda 3 13" xfId="1031" xr:uid="{00000000-0005-0000-0000-00000B040000}"/>
    <cellStyle name="Moneda 3 14" xfId="1032" xr:uid="{00000000-0005-0000-0000-00000C040000}"/>
    <cellStyle name="Moneda 3 15" xfId="1033" xr:uid="{00000000-0005-0000-0000-00000D040000}"/>
    <cellStyle name="Moneda 3 16" xfId="1034" xr:uid="{00000000-0005-0000-0000-00000E040000}"/>
    <cellStyle name="Moneda 3 2" xfId="1035" xr:uid="{00000000-0005-0000-0000-00000F040000}"/>
    <cellStyle name="Moneda 3 3" xfId="1036" xr:uid="{00000000-0005-0000-0000-000010040000}"/>
    <cellStyle name="Moneda 3 4" xfId="1037" xr:uid="{00000000-0005-0000-0000-000011040000}"/>
    <cellStyle name="Moneda 3 5" xfId="1038" xr:uid="{00000000-0005-0000-0000-000012040000}"/>
    <cellStyle name="Moneda 3 6" xfId="1039" xr:uid="{00000000-0005-0000-0000-000013040000}"/>
    <cellStyle name="Moneda 3 7" xfId="1040" xr:uid="{00000000-0005-0000-0000-000014040000}"/>
    <cellStyle name="Moneda 3 8" xfId="1041" xr:uid="{00000000-0005-0000-0000-000015040000}"/>
    <cellStyle name="Moneda 3 9" xfId="1042" xr:uid="{00000000-0005-0000-0000-000016040000}"/>
    <cellStyle name="Moneda 4" xfId="1043" xr:uid="{00000000-0005-0000-0000-000017040000}"/>
    <cellStyle name="Moneda 5" xfId="1044" xr:uid="{00000000-0005-0000-0000-000018040000}"/>
    <cellStyle name="Moneda 5 10" xfId="1045" xr:uid="{00000000-0005-0000-0000-000019040000}"/>
    <cellStyle name="Moneda 5 11" xfId="1046" xr:uid="{00000000-0005-0000-0000-00001A040000}"/>
    <cellStyle name="Moneda 5 12" xfId="1047" xr:uid="{00000000-0005-0000-0000-00001B040000}"/>
    <cellStyle name="Moneda 5 13" xfId="1048" xr:uid="{00000000-0005-0000-0000-00001C040000}"/>
    <cellStyle name="Moneda 5 14" xfId="1049" xr:uid="{00000000-0005-0000-0000-00001D040000}"/>
    <cellStyle name="Moneda 5 15" xfId="1050" xr:uid="{00000000-0005-0000-0000-00001E040000}"/>
    <cellStyle name="Moneda 5 16" xfId="1051" xr:uid="{00000000-0005-0000-0000-00001F040000}"/>
    <cellStyle name="Moneda 5 2" xfId="1052" xr:uid="{00000000-0005-0000-0000-000020040000}"/>
    <cellStyle name="Moneda 5 3" xfId="1053" xr:uid="{00000000-0005-0000-0000-000021040000}"/>
    <cellStyle name="Moneda 5 4" xfId="1054" xr:uid="{00000000-0005-0000-0000-000022040000}"/>
    <cellStyle name="Moneda 5 5" xfId="1055" xr:uid="{00000000-0005-0000-0000-000023040000}"/>
    <cellStyle name="Moneda 5 6" xfId="1056" xr:uid="{00000000-0005-0000-0000-000024040000}"/>
    <cellStyle name="Moneda 5 7" xfId="1057" xr:uid="{00000000-0005-0000-0000-000025040000}"/>
    <cellStyle name="Moneda 5 8" xfId="1058" xr:uid="{00000000-0005-0000-0000-000026040000}"/>
    <cellStyle name="Moneda 5 9" xfId="1059" xr:uid="{00000000-0005-0000-0000-000027040000}"/>
    <cellStyle name="Moneda 6" xfId="1060" xr:uid="{00000000-0005-0000-0000-000028040000}"/>
    <cellStyle name="Moneda 7" xfId="1061" xr:uid="{00000000-0005-0000-0000-000029040000}"/>
    <cellStyle name="Moneda 8" xfId="1062" xr:uid="{00000000-0005-0000-0000-00002A040000}"/>
    <cellStyle name="Moneda 9" xfId="1063" xr:uid="{00000000-0005-0000-0000-00002B040000}"/>
    <cellStyle name="Normal" xfId="0" builtinId="0"/>
    <cellStyle name="Normal 10" xfId="1080" xr:uid="{00000000-0005-0000-0000-00003C040000}"/>
    <cellStyle name="Normal 11" xfId="1081" xr:uid="{00000000-0005-0000-0000-00003D040000}"/>
    <cellStyle name="Normal 12" xfId="1082" xr:uid="{00000000-0005-0000-0000-00003E040000}"/>
    <cellStyle name="Normal 2" xfId="1083" xr:uid="{00000000-0005-0000-0000-00003F040000}"/>
    <cellStyle name="Normal 2 2" xfId="1084" xr:uid="{00000000-0005-0000-0000-000040040000}"/>
    <cellStyle name="Normal 2 3" xfId="1085" xr:uid="{00000000-0005-0000-0000-000041040000}"/>
    <cellStyle name="Normal 2_APUs Bodega" xfId="1086" xr:uid="{00000000-0005-0000-0000-000042040000}"/>
    <cellStyle name="Normal 3" xfId="1087" xr:uid="{00000000-0005-0000-0000-000043040000}"/>
    <cellStyle name="Normal 3 2" xfId="1088" xr:uid="{00000000-0005-0000-0000-000044040000}"/>
    <cellStyle name="Normal 4" xfId="1089" xr:uid="{00000000-0005-0000-0000-000045040000}"/>
    <cellStyle name="Normal 4 2" xfId="1090" xr:uid="{00000000-0005-0000-0000-000046040000}"/>
    <cellStyle name="Normal 4_APUs Bodega" xfId="1091" xr:uid="{00000000-0005-0000-0000-000047040000}"/>
    <cellStyle name="Normal 5" xfId="1092" xr:uid="{00000000-0005-0000-0000-000048040000}"/>
    <cellStyle name="Normal 6" xfId="1093" xr:uid="{00000000-0005-0000-0000-000049040000}"/>
    <cellStyle name="Normal 7" xfId="1094" xr:uid="{00000000-0005-0000-0000-00004A040000}"/>
    <cellStyle name="Normal 8" xfId="1095" xr:uid="{00000000-0005-0000-0000-00004B040000}"/>
    <cellStyle name="Normal 9" xfId="1096" xr:uid="{00000000-0005-0000-0000-00004C040000}"/>
    <cellStyle name="Note 10" xfId="1097" xr:uid="{00000000-0005-0000-0000-00004D040000}"/>
    <cellStyle name="Note 11" xfId="1098" xr:uid="{00000000-0005-0000-0000-00004E040000}"/>
    <cellStyle name="Note 12" xfId="1099" xr:uid="{00000000-0005-0000-0000-00004F040000}"/>
    <cellStyle name="Note 13" xfId="1100" xr:uid="{00000000-0005-0000-0000-000050040000}"/>
    <cellStyle name="Note 14" xfId="1101" xr:uid="{00000000-0005-0000-0000-000051040000}"/>
    <cellStyle name="Note 15" xfId="1102" xr:uid="{00000000-0005-0000-0000-000052040000}"/>
    <cellStyle name="Note 16" xfId="1103" xr:uid="{00000000-0005-0000-0000-000053040000}"/>
    <cellStyle name="Note 17" xfId="1104" xr:uid="{00000000-0005-0000-0000-000054040000}"/>
    <cellStyle name="Note 18" xfId="1105" xr:uid="{00000000-0005-0000-0000-000055040000}"/>
    <cellStyle name="Note 19" xfId="1106" xr:uid="{00000000-0005-0000-0000-000056040000}"/>
    <cellStyle name="Note 2" xfId="1107" xr:uid="{00000000-0005-0000-0000-000057040000}"/>
    <cellStyle name="Note 20" xfId="1108" xr:uid="{00000000-0005-0000-0000-000058040000}"/>
    <cellStyle name="Note 21" xfId="1109" xr:uid="{00000000-0005-0000-0000-000059040000}"/>
    <cellStyle name="Note 22" xfId="1110" xr:uid="{00000000-0005-0000-0000-00005A040000}"/>
    <cellStyle name="Note 23" xfId="1111" xr:uid="{00000000-0005-0000-0000-00005B040000}"/>
    <cellStyle name="Note 24" xfId="1112" xr:uid="{00000000-0005-0000-0000-00005C040000}"/>
    <cellStyle name="Note 25" xfId="1113" xr:uid="{00000000-0005-0000-0000-00005D040000}"/>
    <cellStyle name="Note 26" xfId="1114" xr:uid="{00000000-0005-0000-0000-00005E040000}"/>
    <cellStyle name="Note 27" xfId="1115" xr:uid="{00000000-0005-0000-0000-00005F040000}"/>
    <cellStyle name="Note 28" xfId="1116" xr:uid="{00000000-0005-0000-0000-000060040000}"/>
    <cellStyle name="Note 29" xfId="1117" xr:uid="{00000000-0005-0000-0000-000061040000}"/>
    <cellStyle name="Note 3" xfId="1118" xr:uid="{00000000-0005-0000-0000-000062040000}"/>
    <cellStyle name="Note 30" xfId="1119" xr:uid="{00000000-0005-0000-0000-000063040000}"/>
    <cellStyle name="Note 31" xfId="1120" xr:uid="{00000000-0005-0000-0000-000064040000}"/>
    <cellStyle name="Note 32" xfId="1121" xr:uid="{00000000-0005-0000-0000-000065040000}"/>
    <cellStyle name="Note 33" xfId="1122" xr:uid="{00000000-0005-0000-0000-000066040000}"/>
    <cellStyle name="Note 34" xfId="1123" xr:uid="{00000000-0005-0000-0000-000067040000}"/>
    <cellStyle name="Note 35" xfId="1124" xr:uid="{00000000-0005-0000-0000-000068040000}"/>
    <cellStyle name="Note 36" xfId="1125" xr:uid="{00000000-0005-0000-0000-000069040000}"/>
    <cellStyle name="Note 37" xfId="1126" xr:uid="{00000000-0005-0000-0000-00006A040000}"/>
    <cellStyle name="Note 38" xfId="1127" xr:uid="{00000000-0005-0000-0000-00006B040000}"/>
    <cellStyle name="Note 39" xfId="1128" xr:uid="{00000000-0005-0000-0000-00006C040000}"/>
    <cellStyle name="Note 4" xfId="1129" xr:uid="{00000000-0005-0000-0000-00006D040000}"/>
    <cellStyle name="Note 40" xfId="1130" xr:uid="{00000000-0005-0000-0000-00006E040000}"/>
    <cellStyle name="Note 41" xfId="1131" xr:uid="{00000000-0005-0000-0000-00006F040000}"/>
    <cellStyle name="Note 42" xfId="1132" xr:uid="{00000000-0005-0000-0000-000070040000}"/>
    <cellStyle name="Note 43" xfId="1133" xr:uid="{00000000-0005-0000-0000-000071040000}"/>
    <cellStyle name="Note 44" xfId="1134" xr:uid="{00000000-0005-0000-0000-000072040000}"/>
    <cellStyle name="Note 45" xfId="1135" xr:uid="{00000000-0005-0000-0000-000073040000}"/>
    <cellStyle name="Note 5" xfId="1136" xr:uid="{00000000-0005-0000-0000-000074040000}"/>
    <cellStyle name="Note 6" xfId="1137" xr:uid="{00000000-0005-0000-0000-000075040000}"/>
    <cellStyle name="Note 7" xfId="1138" xr:uid="{00000000-0005-0000-0000-000076040000}"/>
    <cellStyle name="Note 8" xfId="1139" xr:uid="{00000000-0005-0000-0000-000077040000}"/>
    <cellStyle name="Note 9" xfId="1140" xr:uid="{00000000-0005-0000-0000-000078040000}"/>
    <cellStyle name="Output" xfId="1141" xr:uid="{00000000-0005-0000-0000-000079040000}"/>
    <cellStyle name="Output 10" xfId="1142" xr:uid="{00000000-0005-0000-0000-00007A040000}"/>
    <cellStyle name="Output 11" xfId="1143" xr:uid="{00000000-0005-0000-0000-00007B040000}"/>
    <cellStyle name="Output 12" xfId="1144" xr:uid="{00000000-0005-0000-0000-00007C040000}"/>
    <cellStyle name="Output 13" xfId="1145" xr:uid="{00000000-0005-0000-0000-00007D040000}"/>
    <cellStyle name="Output 14" xfId="1146" xr:uid="{00000000-0005-0000-0000-00007E040000}"/>
    <cellStyle name="Output 15" xfId="1147" xr:uid="{00000000-0005-0000-0000-00007F040000}"/>
    <cellStyle name="Output 16" xfId="1148" xr:uid="{00000000-0005-0000-0000-000080040000}"/>
    <cellStyle name="Output 17" xfId="1149" xr:uid="{00000000-0005-0000-0000-000081040000}"/>
    <cellStyle name="Output 18" xfId="1150" xr:uid="{00000000-0005-0000-0000-000082040000}"/>
    <cellStyle name="Output 19" xfId="1151" xr:uid="{00000000-0005-0000-0000-000083040000}"/>
    <cellStyle name="Output 2" xfId="1152" xr:uid="{00000000-0005-0000-0000-000084040000}"/>
    <cellStyle name="Output 20" xfId="1153" xr:uid="{00000000-0005-0000-0000-000085040000}"/>
    <cellStyle name="Output 21" xfId="1154" xr:uid="{00000000-0005-0000-0000-000086040000}"/>
    <cellStyle name="Output 22" xfId="1155" xr:uid="{00000000-0005-0000-0000-000087040000}"/>
    <cellStyle name="Output 23" xfId="1156" xr:uid="{00000000-0005-0000-0000-000088040000}"/>
    <cellStyle name="Output 24" xfId="1157" xr:uid="{00000000-0005-0000-0000-000089040000}"/>
    <cellStyle name="Output 25" xfId="1158" xr:uid="{00000000-0005-0000-0000-00008A040000}"/>
    <cellStyle name="Output 26" xfId="1159" xr:uid="{00000000-0005-0000-0000-00008B040000}"/>
    <cellStyle name="Output 27" xfId="1160" xr:uid="{00000000-0005-0000-0000-00008C040000}"/>
    <cellStyle name="Output 28" xfId="1161" xr:uid="{00000000-0005-0000-0000-00008D040000}"/>
    <cellStyle name="Output 29" xfId="1162" xr:uid="{00000000-0005-0000-0000-00008E040000}"/>
    <cellStyle name="Output 3" xfId="1163" xr:uid="{00000000-0005-0000-0000-00008F040000}"/>
    <cellStyle name="Output 4" xfId="1164" xr:uid="{00000000-0005-0000-0000-000090040000}"/>
    <cellStyle name="Output 5" xfId="1165" xr:uid="{00000000-0005-0000-0000-000091040000}"/>
    <cellStyle name="Output 6" xfId="1166" xr:uid="{00000000-0005-0000-0000-000092040000}"/>
    <cellStyle name="Output 7" xfId="1167" xr:uid="{00000000-0005-0000-0000-000093040000}"/>
    <cellStyle name="Output 8" xfId="1168" xr:uid="{00000000-0005-0000-0000-000094040000}"/>
    <cellStyle name="Output 9" xfId="1169" xr:uid="{00000000-0005-0000-0000-000095040000}"/>
    <cellStyle name="Percent 2" xfId="1170" xr:uid="{00000000-0005-0000-0000-000096040000}"/>
    <cellStyle name="Porcentaje" xfId="1" builtinId="5"/>
    <cellStyle name="Porcentaje 2" xfId="1171" xr:uid="{00000000-0005-0000-0000-000097040000}"/>
    <cellStyle name="Porcentaje 3" xfId="1172" xr:uid="{00000000-0005-0000-0000-000098040000}"/>
    <cellStyle name="Porcentaje 4" xfId="1173" xr:uid="{00000000-0005-0000-0000-000099040000}"/>
    <cellStyle name="Porcentual 10" xfId="1174" xr:uid="{00000000-0005-0000-0000-00009A040000}"/>
    <cellStyle name="Porcentual 2" xfId="1175" xr:uid="{00000000-0005-0000-0000-00009B040000}"/>
    <cellStyle name="Porcentual 2 2" xfId="1176" xr:uid="{00000000-0005-0000-0000-00009C040000}"/>
    <cellStyle name="Porcentual 2 3" xfId="1177" xr:uid="{00000000-0005-0000-0000-00009D040000}"/>
    <cellStyle name="Porcentual 3" xfId="1178" xr:uid="{00000000-0005-0000-0000-00009E040000}"/>
    <cellStyle name="Porcentual 3 2" xfId="1179" xr:uid="{00000000-0005-0000-0000-00009F040000}"/>
    <cellStyle name="Porcentual 4" xfId="1180" xr:uid="{00000000-0005-0000-0000-0000A0040000}"/>
    <cellStyle name="Porcentual 5" xfId="1181" xr:uid="{00000000-0005-0000-0000-0000A1040000}"/>
    <cellStyle name="Porcentual 6" xfId="1182" xr:uid="{00000000-0005-0000-0000-0000A2040000}"/>
    <cellStyle name="Porcentual 6 10" xfId="1183" xr:uid="{00000000-0005-0000-0000-0000A3040000}"/>
    <cellStyle name="Porcentual 6 11" xfId="1184" xr:uid="{00000000-0005-0000-0000-0000A4040000}"/>
    <cellStyle name="Porcentual 6 12" xfId="1185" xr:uid="{00000000-0005-0000-0000-0000A5040000}"/>
    <cellStyle name="Porcentual 6 13" xfId="1186" xr:uid="{00000000-0005-0000-0000-0000A6040000}"/>
    <cellStyle name="Porcentual 6 14" xfId="1187" xr:uid="{00000000-0005-0000-0000-0000A7040000}"/>
    <cellStyle name="Porcentual 6 15" xfId="1188" xr:uid="{00000000-0005-0000-0000-0000A8040000}"/>
    <cellStyle name="Porcentual 6 16" xfId="1189" xr:uid="{00000000-0005-0000-0000-0000A9040000}"/>
    <cellStyle name="Porcentual 6 17" xfId="1190" xr:uid="{00000000-0005-0000-0000-0000AA040000}"/>
    <cellStyle name="Porcentual 6 18" xfId="1191" xr:uid="{00000000-0005-0000-0000-0000AB040000}"/>
    <cellStyle name="Porcentual 6 19" xfId="1192" xr:uid="{00000000-0005-0000-0000-0000AC040000}"/>
    <cellStyle name="Porcentual 6 2" xfId="1193" xr:uid="{00000000-0005-0000-0000-0000AD040000}"/>
    <cellStyle name="Porcentual 6 20" xfId="1194" xr:uid="{00000000-0005-0000-0000-0000AE040000}"/>
    <cellStyle name="Porcentual 6 21" xfId="1195" xr:uid="{00000000-0005-0000-0000-0000AF040000}"/>
    <cellStyle name="Porcentual 6 22" xfId="1196" xr:uid="{00000000-0005-0000-0000-0000B0040000}"/>
    <cellStyle name="Porcentual 6 23" xfId="1197" xr:uid="{00000000-0005-0000-0000-0000B1040000}"/>
    <cellStyle name="Porcentual 6 24" xfId="1198" xr:uid="{00000000-0005-0000-0000-0000B2040000}"/>
    <cellStyle name="Porcentual 6 25" xfId="1199" xr:uid="{00000000-0005-0000-0000-0000B3040000}"/>
    <cellStyle name="Porcentual 6 26" xfId="1200" xr:uid="{00000000-0005-0000-0000-0000B4040000}"/>
    <cellStyle name="Porcentual 6 27" xfId="1201" xr:uid="{00000000-0005-0000-0000-0000B5040000}"/>
    <cellStyle name="Porcentual 6 28" xfId="1202" xr:uid="{00000000-0005-0000-0000-0000B6040000}"/>
    <cellStyle name="Porcentual 6 29" xfId="1203" xr:uid="{00000000-0005-0000-0000-0000B7040000}"/>
    <cellStyle name="Porcentual 6 3" xfId="1204" xr:uid="{00000000-0005-0000-0000-0000B8040000}"/>
    <cellStyle name="Porcentual 6 30" xfId="1205" xr:uid="{00000000-0005-0000-0000-0000B9040000}"/>
    <cellStyle name="Porcentual 6 31" xfId="1206" xr:uid="{00000000-0005-0000-0000-0000BA040000}"/>
    <cellStyle name="Porcentual 6 32" xfId="1207" xr:uid="{00000000-0005-0000-0000-0000BB040000}"/>
    <cellStyle name="Porcentual 6 33" xfId="1208" xr:uid="{00000000-0005-0000-0000-0000BC040000}"/>
    <cellStyle name="Porcentual 6 34" xfId="1209" xr:uid="{00000000-0005-0000-0000-0000BD040000}"/>
    <cellStyle name="Porcentual 6 35" xfId="1210" xr:uid="{00000000-0005-0000-0000-0000BE040000}"/>
    <cellStyle name="Porcentual 6 36" xfId="1211" xr:uid="{00000000-0005-0000-0000-0000BF040000}"/>
    <cellStyle name="Porcentual 6 37" xfId="1212" xr:uid="{00000000-0005-0000-0000-0000C0040000}"/>
    <cellStyle name="Porcentual 6 38" xfId="1213" xr:uid="{00000000-0005-0000-0000-0000C1040000}"/>
    <cellStyle name="Porcentual 6 39" xfId="1214" xr:uid="{00000000-0005-0000-0000-0000C2040000}"/>
    <cellStyle name="Porcentual 6 4" xfId="1215" xr:uid="{00000000-0005-0000-0000-0000C3040000}"/>
    <cellStyle name="Porcentual 6 40" xfId="1216" xr:uid="{00000000-0005-0000-0000-0000C4040000}"/>
    <cellStyle name="Porcentual 6 41" xfId="1217" xr:uid="{00000000-0005-0000-0000-0000C5040000}"/>
    <cellStyle name="Porcentual 6 42" xfId="1218" xr:uid="{00000000-0005-0000-0000-0000C6040000}"/>
    <cellStyle name="Porcentual 6 43" xfId="1219" xr:uid="{00000000-0005-0000-0000-0000C7040000}"/>
    <cellStyle name="Porcentual 6 44" xfId="1220" xr:uid="{00000000-0005-0000-0000-0000C8040000}"/>
    <cellStyle name="Porcentual 6 45" xfId="1221" xr:uid="{00000000-0005-0000-0000-0000C9040000}"/>
    <cellStyle name="Porcentual 6 5" xfId="1222" xr:uid="{00000000-0005-0000-0000-0000CA040000}"/>
    <cellStyle name="Porcentual 6 6" xfId="1223" xr:uid="{00000000-0005-0000-0000-0000CB040000}"/>
    <cellStyle name="Porcentual 6 7" xfId="1224" xr:uid="{00000000-0005-0000-0000-0000CC040000}"/>
    <cellStyle name="Porcentual 6 8" xfId="1225" xr:uid="{00000000-0005-0000-0000-0000CD040000}"/>
    <cellStyle name="Porcentual 6 9" xfId="1226" xr:uid="{00000000-0005-0000-0000-0000CE040000}"/>
    <cellStyle name="Porcentual 7" xfId="1227" xr:uid="{00000000-0005-0000-0000-0000CF040000}"/>
    <cellStyle name="Porcentual 7 10" xfId="1228" xr:uid="{00000000-0005-0000-0000-0000D0040000}"/>
    <cellStyle name="Porcentual 7 11" xfId="1229" xr:uid="{00000000-0005-0000-0000-0000D1040000}"/>
    <cellStyle name="Porcentual 7 12" xfId="1230" xr:uid="{00000000-0005-0000-0000-0000D2040000}"/>
    <cellStyle name="Porcentual 7 13" xfId="1231" xr:uid="{00000000-0005-0000-0000-0000D3040000}"/>
    <cellStyle name="Porcentual 7 14" xfId="1232" xr:uid="{00000000-0005-0000-0000-0000D4040000}"/>
    <cellStyle name="Porcentual 7 15" xfId="1233" xr:uid="{00000000-0005-0000-0000-0000D5040000}"/>
    <cellStyle name="Porcentual 7 16" xfId="1234" xr:uid="{00000000-0005-0000-0000-0000D6040000}"/>
    <cellStyle name="Porcentual 7 17" xfId="1235" xr:uid="{00000000-0005-0000-0000-0000D7040000}"/>
    <cellStyle name="Porcentual 7 18" xfId="1236" xr:uid="{00000000-0005-0000-0000-0000D8040000}"/>
    <cellStyle name="Porcentual 7 19" xfId="1237" xr:uid="{00000000-0005-0000-0000-0000D9040000}"/>
    <cellStyle name="Porcentual 7 2" xfId="1238" xr:uid="{00000000-0005-0000-0000-0000DA040000}"/>
    <cellStyle name="Porcentual 7 20" xfId="1239" xr:uid="{00000000-0005-0000-0000-0000DB040000}"/>
    <cellStyle name="Porcentual 7 21" xfId="1240" xr:uid="{00000000-0005-0000-0000-0000DC040000}"/>
    <cellStyle name="Porcentual 7 22" xfId="1241" xr:uid="{00000000-0005-0000-0000-0000DD040000}"/>
    <cellStyle name="Porcentual 7 23" xfId="1242" xr:uid="{00000000-0005-0000-0000-0000DE040000}"/>
    <cellStyle name="Porcentual 7 24" xfId="1243" xr:uid="{00000000-0005-0000-0000-0000DF040000}"/>
    <cellStyle name="Porcentual 7 25" xfId="1244" xr:uid="{00000000-0005-0000-0000-0000E0040000}"/>
    <cellStyle name="Porcentual 7 26" xfId="1245" xr:uid="{00000000-0005-0000-0000-0000E1040000}"/>
    <cellStyle name="Porcentual 7 27" xfId="1246" xr:uid="{00000000-0005-0000-0000-0000E2040000}"/>
    <cellStyle name="Porcentual 7 28" xfId="1247" xr:uid="{00000000-0005-0000-0000-0000E3040000}"/>
    <cellStyle name="Porcentual 7 29" xfId="1248" xr:uid="{00000000-0005-0000-0000-0000E4040000}"/>
    <cellStyle name="Porcentual 7 3" xfId="1249" xr:uid="{00000000-0005-0000-0000-0000E5040000}"/>
    <cellStyle name="Porcentual 7 30" xfId="1250" xr:uid="{00000000-0005-0000-0000-0000E6040000}"/>
    <cellStyle name="Porcentual 7 31" xfId="1251" xr:uid="{00000000-0005-0000-0000-0000E7040000}"/>
    <cellStyle name="Porcentual 7 32" xfId="1252" xr:uid="{00000000-0005-0000-0000-0000E8040000}"/>
    <cellStyle name="Porcentual 7 33" xfId="1253" xr:uid="{00000000-0005-0000-0000-0000E9040000}"/>
    <cellStyle name="Porcentual 7 34" xfId="1254" xr:uid="{00000000-0005-0000-0000-0000EA040000}"/>
    <cellStyle name="Porcentual 7 35" xfId="1255" xr:uid="{00000000-0005-0000-0000-0000EB040000}"/>
    <cellStyle name="Porcentual 7 36" xfId="1256" xr:uid="{00000000-0005-0000-0000-0000EC040000}"/>
    <cellStyle name="Porcentual 7 37" xfId="1257" xr:uid="{00000000-0005-0000-0000-0000ED040000}"/>
    <cellStyle name="Porcentual 7 38" xfId="1258" xr:uid="{00000000-0005-0000-0000-0000EE040000}"/>
    <cellStyle name="Porcentual 7 39" xfId="1259" xr:uid="{00000000-0005-0000-0000-0000EF040000}"/>
    <cellStyle name="Porcentual 7 4" xfId="1260" xr:uid="{00000000-0005-0000-0000-0000F0040000}"/>
    <cellStyle name="Porcentual 7 40" xfId="1261" xr:uid="{00000000-0005-0000-0000-0000F1040000}"/>
    <cellStyle name="Porcentual 7 41" xfId="1262" xr:uid="{00000000-0005-0000-0000-0000F2040000}"/>
    <cellStyle name="Porcentual 7 42" xfId="1263" xr:uid="{00000000-0005-0000-0000-0000F3040000}"/>
    <cellStyle name="Porcentual 7 43" xfId="1264" xr:uid="{00000000-0005-0000-0000-0000F4040000}"/>
    <cellStyle name="Porcentual 7 44" xfId="1265" xr:uid="{00000000-0005-0000-0000-0000F5040000}"/>
    <cellStyle name="Porcentual 7 5" xfId="1266" xr:uid="{00000000-0005-0000-0000-0000F6040000}"/>
    <cellStyle name="Porcentual 7 6" xfId="1267" xr:uid="{00000000-0005-0000-0000-0000F7040000}"/>
    <cellStyle name="Porcentual 7 7" xfId="1268" xr:uid="{00000000-0005-0000-0000-0000F8040000}"/>
    <cellStyle name="Porcentual 7 8" xfId="1269" xr:uid="{00000000-0005-0000-0000-0000F9040000}"/>
    <cellStyle name="Porcentual 7 9" xfId="1270" xr:uid="{00000000-0005-0000-0000-0000FA040000}"/>
    <cellStyle name="Style 1" xfId="1271" xr:uid="{00000000-0005-0000-0000-0000FB040000}"/>
    <cellStyle name="Style 1 10" xfId="1272" xr:uid="{00000000-0005-0000-0000-0000FC040000}"/>
    <cellStyle name="Style 1 11" xfId="1273" xr:uid="{00000000-0005-0000-0000-0000FD040000}"/>
    <cellStyle name="Style 1 12" xfId="1274" xr:uid="{00000000-0005-0000-0000-0000FE040000}"/>
    <cellStyle name="Style 1 13" xfId="1275" xr:uid="{00000000-0005-0000-0000-0000FF040000}"/>
    <cellStyle name="Style 1 14" xfId="1276" xr:uid="{00000000-0005-0000-0000-000000050000}"/>
    <cellStyle name="Style 1 15" xfId="1277" xr:uid="{00000000-0005-0000-0000-000001050000}"/>
    <cellStyle name="Style 1 16" xfId="1278" xr:uid="{00000000-0005-0000-0000-000002050000}"/>
    <cellStyle name="Style 1 17" xfId="1279" xr:uid="{00000000-0005-0000-0000-000003050000}"/>
    <cellStyle name="Style 1 18" xfId="1280" xr:uid="{00000000-0005-0000-0000-000004050000}"/>
    <cellStyle name="Style 1 19" xfId="1281" xr:uid="{00000000-0005-0000-0000-000005050000}"/>
    <cellStyle name="Style 1 2" xfId="1282" xr:uid="{00000000-0005-0000-0000-000006050000}"/>
    <cellStyle name="Style 1 20" xfId="1283" xr:uid="{00000000-0005-0000-0000-000007050000}"/>
    <cellStyle name="Style 1 21" xfId="1284" xr:uid="{00000000-0005-0000-0000-000008050000}"/>
    <cellStyle name="Style 1 22" xfId="1285" xr:uid="{00000000-0005-0000-0000-000009050000}"/>
    <cellStyle name="Style 1 23" xfId="1286" xr:uid="{00000000-0005-0000-0000-00000A050000}"/>
    <cellStyle name="Style 1 24" xfId="1287" xr:uid="{00000000-0005-0000-0000-00000B050000}"/>
    <cellStyle name="Style 1 25" xfId="1288" xr:uid="{00000000-0005-0000-0000-00000C050000}"/>
    <cellStyle name="Style 1 26" xfId="1289" xr:uid="{00000000-0005-0000-0000-00000D050000}"/>
    <cellStyle name="Style 1 27" xfId="1290" xr:uid="{00000000-0005-0000-0000-00000E050000}"/>
    <cellStyle name="Style 1 28" xfId="1291" xr:uid="{00000000-0005-0000-0000-00000F050000}"/>
    <cellStyle name="Style 1 29" xfId="1292" xr:uid="{00000000-0005-0000-0000-000010050000}"/>
    <cellStyle name="Style 1 3" xfId="1293" xr:uid="{00000000-0005-0000-0000-000011050000}"/>
    <cellStyle name="Style 1 30" xfId="1294" xr:uid="{00000000-0005-0000-0000-000012050000}"/>
    <cellStyle name="Style 1 31" xfId="1295" xr:uid="{00000000-0005-0000-0000-000013050000}"/>
    <cellStyle name="Style 1 32" xfId="1296" xr:uid="{00000000-0005-0000-0000-000014050000}"/>
    <cellStyle name="Style 1 33" xfId="1297" xr:uid="{00000000-0005-0000-0000-000015050000}"/>
    <cellStyle name="Style 1 34" xfId="1298" xr:uid="{00000000-0005-0000-0000-000016050000}"/>
    <cellStyle name="Style 1 35" xfId="1299" xr:uid="{00000000-0005-0000-0000-000017050000}"/>
    <cellStyle name="Style 1 36" xfId="1300" xr:uid="{00000000-0005-0000-0000-000018050000}"/>
    <cellStyle name="Style 1 37" xfId="1301" xr:uid="{00000000-0005-0000-0000-000019050000}"/>
    <cellStyle name="Style 1 38" xfId="1302" xr:uid="{00000000-0005-0000-0000-00001A050000}"/>
    <cellStyle name="Style 1 39" xfId="1303" xr:uid="{00000000-0005-0000-0000-00001B050000}"/>
    <cellStyle name="Style 1 4" xfId="1304" xr:uid="{00000000-0005-0000-0000-00001C050000}"/>
    <cellStyle name="Style 1 40" xfId="1305" xr:uid="{00000000-0005-0000-0000-00001D050000}"/>
    <cellStyle name="Style 1 41" xfId="1306" xr:uid="{00000000-0005-0000-0000-00001E050000}"/>
    <cellStyle name="Style 1 42" xfId="1307" xr:uid="{00000000-0005-0000-0000-00001F050000}"/>
    <cellStyle name="Style 1 43" xfId="1308" xr:uid="{00000000-0005-0000-0000-000020050000}"/>
    <cellStyle name="Style 1 44" xfId="1309" xr:uid="{00000000-0005-0000-0000-000021050000}"/>
    <cellStyle name="Style 1 5" xfId="1310" xr:uid="{00000000-0005-0000-0000-000022050000}"/>
    <cellStyle name="Style 1 6" xfId="1311" xr:uid="{00000000-0005-0000-0000-000023050000}"/>
    <cellStyle name="Style 1 7" xfId="1312" xr:uid="{00000000-0005-0000-0000-000024050000}"/>
    <cellStyle name="Style 1 8" xfId="1313" xr:uid="{00000000-0005-0000-0000-000025050000}"/>
    <cellStyle name="Style 1 9" xfId="1314" xr:uid="{00000000-0005-0000-0000-000026050000}"/>
    <cellStyle name="Title" xfId="1315" xr:uid="{00000000-0005-0000-0000-000027050000}"/>
    <cellStyle name="Title 10" xfId="1316" xr:uid="{00000000-0005-0000-0000-000028050000}"/>
    <cellStyle name="Title 11" xfId="1317" xr:uid="{00000000-0005-0000-0000-000029050000}"/>
    <cellStyle name="Title 12" xfId="1318" xr:uid="{00000000-0005-0000-0000-00002A050000}"/>
    <cellStyle name="Title 13" xfId="1319" xr:uid="{00000000-0005-0000-0000-00002B050000}"/>
    <cellStyle name="Title 14" xfId="1320" xr:uid="{00000000-0005-0000-0000-00002C050000}"/>
    <cellStyle name="Title 15" xfId="1321" xr:uid="{00000000-0005-0000-0000-00002D050000}"/>
    <cellStyle name="Title 16" xfId="1322" xr:uid="{00000000-0005-0000-0000-00002E050000}"/>
    <cellStyle name="Title 17" xfId="1323" xr:uid="{00000000-0005-0000-0000-00002F050000}"/>
    <cellStyle name="Title 18" xfId="1324" xr:uid="{00000000-0005-0000-0000-000030050000}"/>
    <cellStyle name="Title 19" xfId="1325" xr:uid="{00000000-0005-0000-0000-000031050000}"/>
    <cellStyle name="Title 2" xfId="1326" xr:uid="{00000000-0005-0000-0000-000032050000}"/>
    <cellStyle name="Title 20" xfId="1327" xr:uid="{00000000-0005-0000-0000-000033050000}"/>
    <cellStyle name="Title 21" xfId="1328" xr:uid="{00000000-0005-0000-0000-000034050000}"/>
    <cellStyle name="Title 22" xfId="1329" xr:uid="{00000000-0005-0000-0000-000035050000}"/>
    <cellStyle name="Title 23" xfId="1330" xr:uid="{00000000-0005-0000-0000-000036050000}"/>
    <cellStyle name="Title 24" xfId="1331" xr:uid="{00000000-0005-0000-0000-000037050000}"/>
    <cellStyle name="Title 25" xfId="1332" xr:uid="{00000000-0005-0000-0000-000038050000}"/>
    <cellStyle name="Title 26" xfId="1333" xr:uid="{00000000-0005-0000-0000-000039050000}"/>
    <cellStyle name="Title 27" xfId="1334" xr:uid="{00000000-0005-0000-0000-00003A050000}"/>
    <cellStyle name="Title 28" xfId="1335" xr:uid="{00000000-0005-0000-0000-00003B050000}"/>
    <cellStyle name="Title 29" xfId="1336" xr:uid="{00000000-0005-0000-0000-00003C050000}"/>
    <cellStyle name="Title 3" xfId="1337" xr:uid="{00000000-0005-0000-0000-00003D050000}"/>
    <cellStyle name="Title 4" xfId="1338" xr:uid="{00000000-0005-0000-0000-00003E050000}"/>
    <cellStyle name="Title 5" xfId="1339" xr:uid="{00000000-0005-0000-0000-00003F050000}"/>
    <cellStyle name="Title 6" xfId="1340" xr:uid="{00000000-0005-0000-0000-000040050000}"/>
    <cellStyle name="Title 7" xfId="1341" xr:uid="{00000000-0005-0000-0000-000041050000}"/>
    <cellStyle name="Title 8" xfId="1342" xr:uid="{00000000-0005-0000-0000-000042050000}"/>
    <cellStyle name="Title 9" xfId="1343" xr:uid="{00000000-0005-0000-0000-000043050000}"/>
    <cellStyle name="Warning Text" xfId="1344" xr:uid="{00000000-0005-0000-0000-000044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99"/>
      <rgbColor rgb="FFF9F9F9"/>
      <rgbColor rgb="FFDBEEF4"/>
      <rgbColor rgb="FF800000"/>
      <rgbColor rgb="FF008000"/>
      <rgbColor rgb="FF000080"/>
      <rgbColor rgb="FFEEECE1"/>
      <rgbColor rgb="FF800080"/>
      <rgbColor rgb="FF2C9243"/>
      <rgbColor rgb="FFC0C0C0"/>
      <rgbColor rgb="FF808080"/>
      <rgbColor rgb="FFDDD9C3"/>
      <rgbColor rgb="FFFDEADA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BE5D6"/>
      <rgbColor rgb="FFDCE6F2"/>
      <rgbColor rgb="FF800080"/>
      <rgbColor rgb="FF800000"/>
      <rgbColor rgb="FFEBF1DE"/>
      <rgbColor rgb="FF0000FF"/>
      <rgbColor rgb="FFDAE3F3"/>
      <rgbColor rgb="FFD2F9FE"/>
      <rgbColor rgb="FFCCFFCC"/>
      <rgbColor rgb="FFEBFED2"/>
      <rgbColor rgb="FF99CCFF"/>
      <rgbColor rgb="FFFF99CC"/>
      <rgbColor rgb="FFCC99FF"/>
      <rgbColor rgb="FFFFCC99"/>
      <rgbColor rgb="FFDEEBF7"/>
      <rgbColor rgb="FF33CCCC"/>
      <rgbColor rgb="FFE2F0D9"/>
      <rgbColor rgb="FFFFCC00"/>
      <rgbColor rgb="FFFF9900"/>
      <rgbColor rgb="FFFF6600"/>
      <rgbColor rgb="FF4A80AE"/>
      <rgbColor rgb="FF969696"/>
      <rgbColor rgb="FF003366"/>
      <rgbColor rgb="FF339966"/>
      <rgbColor rgb="FF003300"/>
      <rgbColor rgb="FF333300"/>
      <rgbColor rgb="FFEEEEEE"/>
      <rgbColor rgb="FFEDEDE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F7FE"/>
      <color rgb="FFFFFF99"/>
      <color rgb="FFFFF2CC"/>
      <color rgb="FFF9E0AD"/>
      <color rgb="FFD2FAFE"/>
      <color rgb="FF99FF66"/>
      <color rgb="FFFFFF66"/>
      <color rgb="FFEDED7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273620</xdr:colOff>
      <xdr:row>87</xdr:row>
      <xdr:rowOff>0</xdr:rowOff>
    </xdr:from>
    <xdr:to>
      <xdr:col>31</xdr:col>
      <xdr:colOff>396875</xdr:colOff>
      <xdr:row>104</xdr:row>
      <xdr:rowOff>149225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A2A1661-58F6-4F1A-B9A1-DB1F9E3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86570" y="19154775"/>
          <a:ext cx="5457255" cy="4149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24</xdr:row>
      <xdr:rowOff>114300</xdr:rowOff>
    </xdr:to>
    <xdr:sp macro="" textlink="">
      <xdr:nvSpPr>
        <xdr:cNvPr id="15365" name="AutoShape 5" descr="{\displaystyle Q=0.2787\ C\ D_{i}^{2.63}\ S^{0.54}}">
          <a:extLst>
            <a:ext uri="{FF2B5EF4-FFF2-40B4-BE49-F238E27FC236}">
              <a16:creationId xmlns:a16="http://schemas.microsoft.com/office/drawing/2014/main" id="{E3A0203A-D8ED-47AB-9325-F57E26563890}"/>
            </a:ext>
          </a:extLst>
        </xdr:cNvPr>
        <xdr:cNvSpPr>
          <a:spLocks noChangeAspect="1" noChangeArrowheads="1"/>
        </xdr:cNvSpPr>
      </xdr:nvSpPr>
      <xdr:spPr bwMode="auto">
        <a:xfrm>
          <a:off x="685800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69</xdr:row>
      <xdr:rowOff>0</xdr:rowOff>
    </xdr:from>
    <xdr:ext cx="304800" cy="304800"/>
    <xdr:sp macro="" textlink="">
      <xdr:nvSpPr>
        <xdr:cNvPr id="8" name="AutoShape 5" descr="{\displaystyle Q=0.2787\ C\ D_{i}^{2.63}\ S^{0.54}}">
          <a:extLst>
            <a:ext uri="{FF2B5EF4-FFF2-40B4-BE49-F238E27FC236}">
              <a16:creationId xmlns:a16="http://schemas.microsoft.com/office/drawing/2014/main" id="{49187F1A-6273-47C2-88AB-1AC9CE093F55}"/>
            </a:ext>
          </a:extLst>
        </xdr:cNvPr>
        <xdr:cNvSpPr>
          <a:spLocks noChangeAspect="1" noChangeArrowheads="1"/>
        </xdr:cNvSpPr>
      </xdr:nvSpPr>
      <xdr:spPr bwMode="auto">
        <a:xfrm>
          <a:off x="5626100" y="923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15</xdr:row>
      <xdr:rowOff>66675</xdr:rowOff>
    </xdr:to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E2AF5060-25DA-487C-9B23-9EF8C3C809BC}"/>
            </a:ext>
          </a:extLst>
        </xdr:cNvPr>
        <xdr:cNvSpPr>
          <a:spLocks noChangeAspect="1" noChangeArrowheads="1"/>
        </xdr:cNvSpPr>
      </xdr:nvSpPr>
      <xdr:spPr bwMode="auto">
        <a:xfrm>
          <a:off x="5648325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25</xdr:row>
      <xdr:rowOff>0</xdr:rowOff>
    </xdr:from>
    <xdr:ext cx="304800" cy="304800"/>
    <xdr:sp macro="" textlink="">
      <xdr:nvSpPr>
        <xdr:cNvPr id="9" name="AutoShape 5" descr="{\displaystyle Q=0.2787\ C\ D_{i}^{2.63}\ S^{0.54}}">
          <a:extLst>
            <a:ext uri="{FF2B5EF4-FFF2-40B4-BE49-F238E27FC236}">
              <a16:creationId xmlns:a16="http://schemas.microsoft.com/office/drawing/2014/main" id="{F258454E-B0E2-49CE-BD46-DE2BD15C3794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718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304800" cy="304800"/>
    <xdr:sp macro="" textlink="">
      <xdr:nvSpPr>
        <xdr:cNvPr id="10" name="AutoShape 5" descr="{\displaystyle Q=0.2787\ C\ D_{i}^{2.63}\ S^{0.54}}">
          <a:extLst>
            <a:ext uri="{FF2B5EF4-FFF2-40B4-BE49-F238E27FC236}">
              <a16:creationId xmlns:a16="http://schemas.microsoft.com/office/drawing/2014/main" id="{D20AB8FA-D502-4C2B-9B41-FECB437381F1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699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16FA-9500-4DDA-9969-3469377AB418}">
  <dimension ref="A1:J188"/>
  <sheetViews>
    <sheetView showGridLines="0" tabSelected="1" topLeftCell="C12" zoomScale="75" zoomScaleNormal="75" workbookViewId="0">
      <selection activeCell="B155" sqref="B155"/>
    </sheetView>
  </sheetViews>
  <sheetFormatPr baseColWidth="10" defaultRowHeight="14.25" x14ac:dyDescent="0.2"/>
  <cols>
    <col min="1" max="1" width="21.7109375" style="19" customWidth="1"/>
    <col min="2" max="2" width="53.7109375" style="19" customWidth="1"/>
    <col min="3" max="3" width="55.140625" style="19" customWidth="1"/>
    <col min="4" max="4" width="21" style="24" customWidth="1"/>
    <col min="5" max="5" width="12.85546875" style="19" customWidth="1"/>
    <col min="6" max="6" width="16.5703125" style="19" customWidth="1"/>
    <col min="7" max="7" width="13.42578125" style="19" customWidth="1"/>
    <col min="8" max="8" width="13" style="19" customWidth="1"/>
    <col min="9" max="9" width="15.7109375" style="19" customWidth="1"/>
    <col min="10" max="10" width="18.28515625" style="19" customWidth="1"/>
    <col min="11" max="11" width="15.5703125" style="19" customWidth="1"/>
    <col min="12" max="16384" width="11.42578125" style="19"/>
  </cols>
  <sheetData>
    <row r="1" spans="1:9" ht="18" customHeight="1" x14ac:dyDescent="0.25">
      <c r="B1" s="59"/>
      <c r="C1" s="95" t="s">
        <v>30</v>
      </c>
      <c r="D1" s="96"/>
      <c r="E1"/>
      <c r="G1" s="24"/>
      <c r="H1" s="24"/>
    </row>
    <row r="2" spans="1:9" ht="15" customHeight="1" x14ac:dyDescent="0.25">
      <c r="B2" s="59"/>
      <c r="C2" s="401" t="s">
        <v>167</v>
      </c>
      <c r="D2" s="96"/>
      <c r="E2"/>
      <c r="G2" s="38"/>
      <c r="H2" s="38"/>
    </row>
    <row r="3" spans="1:9" ht="15" customHeight="1" x14ac:dyDescent="0.25">
      <c r="B3" s="59"/>
      <c r="C3" s="221" t="s">
        <v>0</v>
      </c>
      <c r="D3" s="219"/>
      <c r="E3"/>
      <c r="G3" s="406"/>
      <c r="H3" s="406"/>
      <c r="I3" s="406"/>
    </row>
    <row r="4" spans="1:9" ht="15" customHeight="1" x14ac:dyDescent="0.25">
      <c r="B4" s="59"/>
      <c r="C4" s="222" t="s">
        <v>111</v>
      </c>
      <c r="D4" s="219"/>
      <c r="E4"/>
      <c r="F4" s="20"/>
      <c r="G4" s="234"/>
      <c r="H4" s="91"/>
      <c r="I4" s="90"/>
    </row>
    <row r="5" spans="1:9" ht="15" customHeight="1" x14ac:dyDescent="0.25">
      <c r="B5" s="59"/>
      <c r="C5" s="223" t="s">
        <v>117</v>
      </c>
      <c r="D5" s="220"/>
      <c r="E5"/>
      <c r="F5" s="20"/>
      <c r="G5" s="235"/>
      <c r="H5" s="91"/>
      <c r="I5" s="90"/>
    </row>
    <row r="6" spans="1:9" ht="15" customHeight="1" x14ac:dyDescent="0.25">
      <c r="B6" s="59"/>
      <c r="C6" s="402" t="s">
        <v>168</v>
      </c>
      <c r="D6" s="51"/>
      <c r="E6"/>
      <c r="F6" s="20"/>
      <c r="G6" s="235"/>
      <c r="H6" s="91"/>
      <c r="I6" s="90"/>
    </row>
    <row r="7" spans="1:9" ht="15" customHeight="1" x14ac:dyDescent="0.25">
      <c r="B7" s="59"/>
      <c r="C7" s="224" t="s">
        <v>118</v>
      </c>
      <c r="D7" s="20"/>
      <c r="E7"/>
      <c r="F7" s="20"/>
      <c r="G7" s="236"/>
      <c r="H7" s="92"/>
      <c r="I7" s="93"/>
    </row>
    <row r="8" spans="1:9" ht="15" customHeight="1" x14ac:dyDescent="0.25">
      <c r="B8" s="59"/>
      <c r="C8" s="225" t="s">
        <v>1</v>
      </c>
      <c r="D8" s="219"/>
      <c r="E8"/>
      <c r="F8" s="20"/>
      <c r="G8" s="234"/>
      <c r="H8" s="91"/>
      <c r="I8" s="90"/>
    </row>
    <row r="9" spans="1:9" ht="15" customHeight="1" x14ac:dyDescent="0.25">
      <c r="B9" s="59"/>
      <c r="C9" s="226" t="s">
        <v>100</v>
      </c>
      <c r="D9" s="219"/>
      <c r="E9"/>
      <c r="F9" s="20"/>
      <c r="G9" s="234"/>
      <c r="I9" s="94"/>
    </row>
    <row r="10" spans="1:9" ht="15" customHeight="1" x14ac:dyDescent="0.25">
      <c r="B10" s="59"/>
      <c r="C10" s="227" t="s">
        <v>116</v>
      </c>
      <c r="D10" s="220"/>
      <c r="E10"/>
      <c r="F10" s="20"/>
      <c r="G10" s="234"/>
      <c r="I10" s="94"/>
    </row>
    <row r="11" spans="1:9" ht="36.75" customHeight="1" x14ac:dyDescent="0.25">
      <c r="A11" s="231" t="s">
        <v>200</v>
      </c>
      <c r="B11" s="299" t="s">
        <v>112</v>
      </c>
      <c r="C11" s="50"/>
      <c r="D11" s="99"/>
      <c r="E11" s="99"/>
      <c r="F11" s="230"/>
      <c r="G11" s="231" t="s">
        <v>173</v>
      </c>
      <c r="H11" s="232" t="s">
        <v>174</v>
      </c>
      <c r="I11" s="94"/>
    </row>
    <row r="12" spans="1:9" ht="21.75" customHeight="1" x14ac:dyDescent="0.25">
      <c r="A12" s="212"/>
      <c r="B12" s="21"/>
      <c r="C12" s="354" t="s">
        <v>203</v>
      </c>
      <c r="D12" s="310"/>
      <c r="E12" s="355"/>
      <c r="F12" s="357"/>
      <c r="G12" s="356"/>
      <c r="H12" s="297"/>
      <c r="I12" s="90"/>
    </row>
    <row r="13" spans="1:9" ht="15" x14ac:dyDescent="0.25">
      <c r="A13" s="212"/>
      <c r="B13" s="353"/>
      <c r="C13" s="213" t="s">
        <v>44</v>
      </c>
      <c r="D13" s="214"/>
      <c r="E13" s="215"/>
      <c r="F13" s="358"/>
      <c r="G13" s="215"/>
      <c r="H13" s="298"/>
      <c r="I13" s="90"/>
    </row>
    <row r="14" spans="1:9" x14ac:dyDescent="0.2">
      <c r="A14" s="212"/>
      <c r="B14" s="300"/>
      <c r="C14" s="186" t="s">
        <v>34</v>
      </c>
      <c r="D14" s="31"/>
      <c r="E14" s="389">
        <v>6</v>
      </c>
      <c r="F14" s="11" t="s">
        <v>11</v>
      </c>
      <c r="G14" s="57">
        <v>6</v>
      </c>
      <c r="H14" s="233">
        <f>G14-E14</f>
        <v>0</v>
      </c>
      <c r="I14" s="332"/>
    </row>
    <row r="15" spans="1:9" x14ac:dyDescent="0.2">
      <c r="A15" s="212"/>
      <c r="B15" s="300"/>
      <c r="C15" s="321" t="s">
        <v>206</v>
      </c>
      <c r="D15" s="322"/>
      <c r="E15" s="390">
        <v>1</v>
      </c>
      <c r="F15" s="323" t="s">
        <v>4</v>
      </c>
      <c r="G15" s="361">
        <v>1</v>
      </c>
      <c r="H15" s="233">
        <f t="shared" ref="H15:H68" si="0">G15-E15</f>
        <v>0</v>
      </c>
      <c r="I15" s="90"/>
    </row>
    <row r="16" spans="1:9" ht="15" customHeight="1" x14ac:dyDescent="0.2">
      <c r="A16" s="212"/>
      <c r="B16" s="300"/>
      <c r="C16" s="187" t="s">
        <v>207</v>
      </c>
      <c r="D16" s="180"/>
      <c r="E16" s="18">
        <f>E14/E15</f>
        <v>6</v>
      </c>
      <c r="F16" s="181" t="s">
        <v>11</v>
      </c>
      <c r="G16" s="57">
        <f>G14/G15</f>
        <v>6</v>
      </c>
      <c r="H16" s="233">
        <f t="shared" si="0"/>
        <v>0</v>
      </c>
    </row>
    <row r="17" spans="1:8" ht="15" customHeight="1" x14ac:dyDescent="0.2">
      <c r="A17" s="212"/>
      <c r="B17" s="301" t="s">
        <v>149</v>
      </c>
      <c r="C17" s="186" t="s">
        <v>29</v>
      </c>
      <c r="D17" s="31"/>
      <c r="E17" s="391">
        <v>220</v>
      </c>
      <c r="F17" s="11" t="s">
        <v>28</v>
      </c>
      <c r="G17" s="361">
        <v>220</v>
      </c>
      <c r="H17" s="233">
        <f t="shared" si="0"/>
        <v>0</v>
      </c>
    </row>
    <row r="18" spans="1:8" ht="15" customHeight="1" x14ac:dyDescent="0.2">
      <c r="A18" s="212"/>
      <c r="B18" s="302"/>
      <c r="C18" s="188" t="s">
        <v>31</v>
      </c>
      <c r="D18" s="135"/>
      <c r="E18" s="392">
        <f>0.001*E16*E17*86.4</f>
        <v>114.04800000000002</v>
      </c>
      <c r="F18" s="136" t="s">
        <v>32</v>
      </c>
      <c r="G18" s="383">
        <f>0.001*G16*G17*86.4</f>
        <v>114.04800000000002</v>
      </c>
      <c r="H18" s="233">
        <f t="shared" si="0"/>
        <v>0</v>
      </c>
    </row>
    <row r="19" spans="1:8" ht="15" customHeight="1" x14ac:dyDescent="0.2">
      <c r="A19" s="212"/>
      <c r="B19" s="301" t="s">
        <v>149</v>
      </c>
      <c r="C19" s="186" t="s">
        <v>35</v>
      </c>
      <c r="D19" s="31"/>
      <c r="E19" s="391">
        <v>40</v>
      </c>
      <c r="F19" s="11" t="s">
        <v>20</v>
      </c>
      <c r="G19" s="361">
        <v>40</v>
      </c>
      <c r="H19" s="233">
        <f t="shared" si="0"/>
        <v>0</v>
      </c>
    </row>
    <row r="20" spans="1:8" ht="15" customHeight="1" x14ac:dyDescent="0.2">
      <c r="A20" s="212"/>
      <c r="B20" s="300"/>
      <c r="C20" s="188" t="s">
        <v>45</v>
      </c>
      <c r="D20" s="135"/>
      <c r="E20" s="392">
        <f>0.001*E16*E19*86.4</f>
        <v>20.736000000000001</v>
      </c>
      <c r="F20" s="136" t="s">
        <v>19</v>
      </c>
      <c r="G20" s="383">
        <f>0.001*G16*G19*86.4</f>
        <v>20.736000000000001</v>
      </c>
      <c r="H20" s="233">
        <f t="shared" si="0"/>
        <v>0</v>
      </c>
    </row>
    <row r="21" spans="1:8" ht="15" customHeight="1" x14ac:dyDescent="0.2">
      <c r="A21" s="212"/>
      <c r="B21" s="301" t="s">
        <v>261</v>
      </c>
      <c r="C21" s="185" t="s">
        <v>36</v>
      </c>
      <c r="D21" s="63"/>
      <c r="E21" s="390">
        <v>8</v>
      </c>
      <c r="F21" s="64" t="s">
        <v>37</v>
      </c>
      <c r="G21" s="361">
        <v>8</v>
      </c>
      <c r="H21" s="233">
        <f t="shared" si="0"/>
        <v>0</v>
      </c>
    </row>
    <row r="22" spans="1:8" ht="15" customHeight="1" x14ac:dyDescent="0.2">
      <c r="A22" s="212"/>
      <c r="B22" s="301"/>
      <c r="C22" s="189" t="s">
        <v>38</v>
      </c>
      <c r="D22" s="65" t="str">
        <f>IF(E23&lt;5,"Se requiere proceso EBPR","No se requiere EBPR")</f>
        <v>No se requiere EBPR</v>
      </c>
      <c r="E22" s="393">
        <f>E17/E19</f>
        <v>5.5</v>
      </c>
      <c r="F22" s="66"/>
      <c r="G22" s="384">
        <f>G17/G19</f>
        <v>5.5</v>
      </c>
      <c r="H22" s="233">
        <f t="shared" si="0"/>
        <v>0</v>
      </c>
    </row>
    <row r="23" spans="1:8" ht="15" customHeight="1" x14ac:dyDescent="0.2">
      <c r="A23" s="212"/>
      <c r="B23" s="301"/>
      <c r="C23" s="190" t="s">
        <v>39</v>
      </c>
      <c r="D23" s="188"/>
      <c r="E23" s="394">
        <f>E19/E21</f>
        <v>5</v>
      </c>
      <c r="F23" s="67"/>
      <c r="G23" s="57">
        <f>G19/G21</f>
        <v>5</v>
      </c>
      <c r="H23" s="233">
        <f t="shared" si="0"/>
        <v>0</v>
      </c>
    </row>
    <row r="24" spans="1:8" ht="15" customHeight="1" x14ac:dyDescent="0.2">
      <c r="A24" s="212"/>
      <c r="B24" s="301"/>
      <c r="C24" s="191" t="s">
        <v>47</v>
      </c>
      <c r="D24" s="30"/>
      <c r="E24" s="385"/>
      <c r="F24" s="216"/>
      <c r="G24" s="385"/>
      <c r="H24" s="296"/>
    </row>
    <row r="25" spans="1:8" ht="15" customHeight="1" x14ac:dyDescent="0.2">
      <c r="A25" s="212"/>
      <c r="B25" s="301" t="s">
        <v>159</v>
      </c>
      <c r="C25" s="142" t="s">
        <v>64</v>
      </c>
      <c r="D25" s="137"/>
      <c r="E25" s="395">
        <v>25</v>
      </c>
      <c r="F25" s="138"/>
      <c r="G25" s="361">
        <v>25</v>
      </c>
      <c r="H25" s="233">
        <f t="shared" si="0"/>
        <v>0</v>
      </c>
    </row>
    <row r="26" spans="1:8" ht="15" customHeight="1" x14ac:dyDescent="0.2">
      <c r="A26" s="212"/>
      <c r="B26" s="301"/>
      <c r="C26" s="192" t="s">
        <v>55</v>
      </c>
      <c r="D26" s="139"/>
      <c r="E26" s="361">
        <f>E20*E25</f>
        <v>518.4</v>
      </c>
      <c r="F26" s="60" t="s">
        <v>32</v>
      </c>
      <c r="G26" s="361">
        <f>G20*G25</f>
        <v>518.4</v>
      </c>
      <c r="H26" s="233">
        <f t="shared" si="0"/>
        <v>0</v>
      </c>
    </row>
    <row r="27" spans="1:8" ht="15" customHeight="1" x14ac:dyDescent="0.2">
      <c r="A27" s="212"/>
      <c r="B27" s="301"/>
      <c r="C27" s="192" t="s">
        <v>72</v>
      </c>
      <c r="D27" s="139"/>
      <c r="E27" s="361">
        <f>E26-E18</f>
        <v>404.35199999999998</v>
      </c>
      <c r="F27" s="60" t="s">
        <v>32</v>
      </c>
      <c r="G27" s="361">
        <f>G26-G18</f>
        <v>404.35199999999998</v>
      </c>
      <c r="H27" s="233">
        <f t="shared" si="0"/>
        <v>0</v>
      </c>
    </row>
    <row r="28" spans="1:8" ht="15" customHeight="1" x14ac:dyDescent="0.2">
      <c r="A28" s="212"/>
      <c r="B28" s="301" t="s">
        <v>160</v>
      </c>
      <c r="C28" s="142" t="s">
        <v>48</v>
      </c>
      <c r="D28" s="140"/>
      <c r="E28" s="396">
        <v>0.16</v>
      </c>
      <c r="F28" s="141"/>
      <c r="G28" s="386">
        <v>0.16</v>
      </c>
      <c r="H28" s="233">
        <f t="shared" si="0"/>
        <v>0</v>
      </c>
    </row>
    <row r="29" spans="1:8" ht="15" customHeight="1" x14ac:dyDescent="0.2">
      <c r="A29" s="212"/>
      <c r="B29" s="301" t="s">
        <v>160</v>
      </c>
      <c r="C29" s="142" t="s">
        <v>49</v>
      </c>
      <c r="D29" s="142"/>
      <c r="E29" s="396">
        <v>0.3</v>
      </c>
      <c r="F29" s="141"/>
      <c r="G29" s="386">
        <v>0.3</v>
      </c>
      <c r="H29" s="233">
        <f t="shared" si="0"/>
        <v>0</v>
      </c>
    </row>
    <row r="30" spans="1:8" ht="15" customHeight="1" x14ac:dyDescent="0.2">
      <c r="A30" s="212"/>
      <c r="B30" s="301" t="s">
        <v>160</v>
      </c>
      <c r="C30" s="193" t="s">
        <v>50</v>
      </c>
      <c r="D30" s="143" t="s">
        <v>51</v>
      </c>
      <c r="E30" s="397">
        <v>0.14000000000000001</v>
      </c>
      <c r="F30" s="144"/>
      <c r="G30" s="387">
        <v>0.14000000000000001</v>
      </c>
      <c r="H30" s="233">
        <f t="shared" si="0"/>
        <v>0</v>
      </c>
    </row>
    <row r="31" spans="1:8" ht="15" customHeight="1" x14ac:dyDescent="0.2">
      <c r="A31" s="212"/>
      <c r="B31" s="301"/>
      <c r="C31" s="145" t="s">
        <v>52</v>
      </c>
      <c r="D31" s="145"/>
      <c r="E31" s="387">
        <f>E30*(1-E28)</f>
        <v>0.11760000000000001</v>
      </c>
      <c r="F31" s="60"/>
      <c r="G31" s="387">
        <f>G30*(1-G28)</f>
        <v>0.11760000000000001</v>
      </c>
      <c r="H31" s="233">
        <f t="shared" si="0"/>
        <v>0</v>
      </c>
    </row>
    <row r="32" spans="1:8" ht="15" customHeight="1" x14ac:dyDescent="0.2">
      <c r="A32" s="212"/>
      <c r="B32" s="301"/>
      <c r="C32" s="145" t="s">
        <v>53</v>
      </c>
      <c r="D32" s="145"/>
      <c r="E32" s="387">
        <f>E29*E28</f>
        <v>4.8000000000000001E-2</v>
      </c>
      <c r="F32" s="60"/>
      <c r="G32" s="387">
        <f>G29*G28</f>
        <v>4.8000000000000001E-2</v>
      </c>
      <c r="H32" s="233">
        <f t="shared" si="0"/>
        <v>0</v>
      </c>
    </row>
    <row r="33" spans="1:8" ht="15" customHeight="1" x14ac:dyDescent="0.2">
      <c r="A33" s="212"/>
      <c r="B33" s="301"/>
      <c r="C33" s="134" t="s">
        <v>54</v>
      </c>
      <c r="D33" s="146"/>
      <c r="E33" s="387">
        <f>E28+E31+E32</f>
        <v>0.3256</v>
      </c>
      <c r="F33" s="147"/>
      <c r="G33" s="387">
        <f>G28+G31+G32</f>
        <v>0.3256</v>
      </c>
      <c r="H33" s="233">
        <f t="shared" si="0"/>
        <v>0</v>
      </c>
    </row>
    <row r="34" spans="1:8" ht="15" customHeight="1" x14ac:dyDescent="0.2">
      <c r="A34" s="212"/>
      <c r="B34" s="301"/>
      <c r="C34" s="145" t="s">
        <v>99</v>
      </c>
      <c r="D34" s="145"/>
      <c r="E34" s="387">
        <f>E31+E32</f>
        <v>0.16560000000000002</v>
      </c>
      <c r="F34" s="60"/>
      <c r="G34" s="387">
        <f>G31+G32</f>
        <v>0.16560000000000002</v>
      </c>
      <c r="H34" s="233">
        <f t="shared" si="0"/>
        <v>0</v>
      </c>
    </row>
    <row r="35" spans="1:8" ht="15" customHeight="1" x14ac:dyDescent="0.2">
      <c r="A35" s="212"/>
      <c r="B35" s="300"/>
      <c r="C35" s="194" t="s">
        <v>56</v>
      </c>
      <c r="D35" s="148"/>
      <c r="E35" s="398">
        <f>E15*E27/E33</f>
        <v>1241.8673218673218</v>
      </c>
      <c r="F35" s="149" t="s">
        <v>57</v>
      </c>
      <c r="G35" s="377">
        <f>G15*G27/G33</f>
        <v>1241.8673218673218</v>
      </c>
      <c r="H35" s="233">
        <f t="shared" si="0"/>
        <v>0</v>
      </c>
    </row>
    <row r="36" spans="1:8" ht="15" customHeight="1" x14ac:dyDescent="0.2">
      <c r="A36" s="212"/>
      <c r="B36" s="303" t="s">
        <v>121</v>
      </c>
      <c r="C36" s="142" t="s">
        <v>119</v>
      </c>
      <c r="D36" s="137"/>
      <c r="E36" s="395">
        <v>7</v>
      </c>
      <c r="F36" s="138" t="s">
        <v>58</v>
      </c>
      <c r="G36" s="361">
        <v>7</v>
      </c>
      <c r="H36" s="233">
        <f t="shared" si="0"/>
        <v>0</v>
      </c>
    </row>
    <row r="37" spans="1:8" ht="15" customHeight="1" x14ac:dyDescent="0.2">
      <c r="A37" s="212"/>
      <c r="B37" s="303"/>
      <c r="C37" s="196" t="s">
        <v>248</v>
      </c>
      <c r="D37" s="32"/>
      <c r="E37" s="47">
        <v>0.5</v>
      </c>
      <c r="F37" s="33" t="s">
        <v>58</v>
      </c>
      <c r="G37" s="334">
        <v>0.5</v>
      </c>
      <c r="H37" s="233">
        <f t="shared" si="0"/>
        <v>0</v>
      </c>
    </row>
    <row r="38" spans="1:8" ht="15" customHeight="1" x14ac:dyDescent="0.2">
      <c r="A38" s="212"/>
      <c r="B38" s="303"/>
      <c r="C38" s="145" t="s">
        <v>249</v>
      </c>
      <c r="D38" s="333"/>
      <c r="E38" s="334">
        <f>E36-E37</f>
        <v>6.5</v>
      </c>
      <c r="F38" s="60" t="s">
        <v>58</v>
      </c>
      <c r="G38" s="334">
        <f>G36-G37</f>
        <v>6.5</v>
      </c>
      <c r="H38" s="233">
        <f t="shared" si="0"/>
        <v>0</v>
      </c>
    </row>
    <row r="39" spans="1:8" ht="15" customHeight="1" x14ac:dyDescent="0.2">
      <c r="A39" s="212"/>
      <c r="B39" s="303"/>
      <c r="C39" s="145" t="s">
        <v>162</v>
      </c>
      <c r="D39" s="54"/>
      <c r="E39" s="16">
        <f>E36-1</f>
        <v>6</v>
      </c>
      <c r="F39" s="60" t="s">
        <v>58</v>
      </c>
      <c r="G39" s="16">
        <f>G36-1</f>
        <v>6</v>
      </c>
      <c r="H39" s="233">
        <f t="shared" si="0"/>
        <v>0</v>
      </c>
    </row>
    <row r="40" spans="1:8" ht="15" customHeight="1" x14ac:dyDescent="0.2">
      <c r="A40" s="212"/>
      <c r="B40" s="303" t="s">
        <v>121</v>
      </c>
      <c r="C40" s="317" t="s">
        <v>210</v>
      </c>
      <c r="D40" s="318"/>
      <c r="E40" s="399">
        <f>E39</f>
        <v>6</v>
      </c>
      <c r="F40" s="319" t="s">
        <v>4</v>
      </c>
      <c r="G40" s="388">
        <f>G39</f>
        <v>6</v>
      </c>
      <c r="H40" s="233">
        <f t="shared" si="0"/>
        <v>0</v>
      </c>
    </row>
    <row r="41" spans="1:8" ht="15" customHeight="1" x14ac:dyDescent="0.2">
      <c r="A41" s="212"/>
      <c r="B41" s="300"/>
      <c r="C41" s="145" t="s">
        <v>120</v>
      </c>
      <c r="D41" s="54"/>
      <c r="E41" s="16">
        <f>E35*E36</f>
        <v>8693.0712530712535</v>
      </c>
      <c r="F41" s="60" t="s">
        <v>59</v>
      </c>
      <c r="G41" s="16">
        <f>G35*G36</f>
        <v>8693.0712530712535</v>
      </c>
      <c r="H41" s="233">
        <f t="shared" si="0"/>
        <v>0</v>
      </c>
    </row>
    <row r="42" spans="1:8" ht="15" customHeight="1" x14ac:dyDescent="0.2">
      <c r="A42" s="212"/>
      <c r="B42" s="300"/>
      <c r="C42" s="134" t="s">
        <v>113</v>
      </c>
      <c r="D42" s="150"/>
      <c r="E42" s="377">
        <f>E41*E28</f>
        <v>1390.8914004914006</v>
      </c>
      <c r="F42" s="60" t="s">
        <v>59</v>
      </c>
      <c r="G42" s="377">
        <f>G41*G28</f>
        <v>1390.8914004914006</v>
      </c>
      <c r="H42" s="233">
        <f t="shared" si="0"/>
        <v>0</v>
      </c>
    </row>
    <row r="43" spans="1:8" ht="15" customHeight="1" x14ac:dyDescent="0.2">
      <c r="A43" s="212"/>
      <c r="B43" s="304" t="s">
        <v>263</v>
      </c>
      <c r="C43" s="193" t="s">
        <v>60</v>
      </c>
      <c r="D43" s="151"/>
      <c r="E43" s="400">
        <v>200</v>
      </c>
      <c r="F43" s="144" t="s">
        <v>27</v>
      </c>
      <c r="G43" s="377">
        <v>200</v>
      </c>
      <c r="H43" s="233">
        <f t="shared" si="0"/>
        <v>0</v>
      </c>
    </row>
    <row r="44" spans="1:8" ht="15" customHeight="1" x14ac:dyDescent="0.2">
      <c r="A44" s="212"/>
      <c r="B44" s="300"/>
      <c r="C44" s="134" t="s">
        <v>97</v>
      </c>
      <c r="D44" s="150"/>
      <c r="E44" s="57">
        <f>E41/(E43*E15)</f>
        <v>43.46535626535627</v>
      </c>
      <c r="F44" s="60" t="s">
        <v>16</v>
      </c>
      <c r="G44" s="57">
        <f>G41/(G43*G15)</f>
        <v>43.46535626535627</v>
      </c>
      <c r="H44" s="233">
        <f t="shared" si="0"/>
        <v>0</v>
      </c>
    </row>
    <row r="45" spans="1:8" ht="15" customHeight="1" x14ac:dyDescent="0.2">
      <c r="A45" s="212"/>
      <c r="B45" s="300"/>
      <c r="C45" s="195" t="s">
        <v>219</v>
      </c>
      <c r="D45" s="152"/>
      <c r="E45" s="18">
        <f>E44/E40</f>
        <v>7.2442260442260453</v>
      </c>
      <c r="F45" s="320" t="s">
        <v>16</v>
      </c>
      <c r="G45" s="57">
        <f>G44/G40</f>
        <v>7.2442260442260453</v>
      </c>
      <c r="H45" s="233">
        <f t="shared" si="0"/>
        <v>0</v>
      </c>
    </row>
    <row r="46" spans="1:8" ht="15" customHeight="1" x14ac:dyDescent="0.2">
      <c r="A46" s="212"/>
      <c r="B46" s="300"/>
      <c r="C46" s="193" t="s">
        <v>225</v>
      </c>
      <c r="D46" s="151"/>
      <c r="E46" s="400">
        <f>(E43+E48)/2</f>
        <v>400</v>
      </c>
      <c r="F46" s="144" t="s">
        <v>27</v>
      </c>
      <c r="G46" s="377">
        <f>(G43+G48)/2</f>
        <v>400</v>
      </c>
      <c r="H46" s="233">
        <f t="shared" si="0"/>
        <v>0</v>
      </c>
    </row>
    <row r="47" spans="1:8" ht="15" customHeight="1" x14ac:dyDescent="0.2">
      <c r="A47" s="212"/>
      <c r="B47" s="300"/>
      <c r="C47" s="195" t="s">
        <v>115</v>
      </c>
      <c r="D47" s="152"/>
      <c r="E47" s="18">
        <f>E44*E43/(E40*E46)</f>
        <v>3.6221130221130222</v>
      </c>
      <c r="F47" s="153" t="s">
        <v>16</v>
      </c>
      <c r="G47" s="57">
        <f>G44*G43/(G40*G46)</f>
        <v>3.6221130221130222</v>
      </c>
      <c r="H47" s="233">
        <f t="shared" si="0"/>
        <v>0</v>
      </c>
    </row>
    <row r="48" spans="1:8" ht="15" customHeight="1" x14ac:dyDescent="0.2">
      <c r="A48" s="212"/>
      <c r="B48" s="304" t="s">
        <v>263</v>
      </c>
      <c r="C48" s="193" t="s">
        <v>114</v>
      </c>
      <c r="D48" s="151"/>
      <c r="E48" s="400">
        <v>600</v>
      </c>
      <c r="F48" s="144" t="s">
        <v>27</v>
      </c>
      <c r="G48" s="377">
        <v>600</v>
      </c>
      <c r="H48" s="233">
        <f t="shared" si="0"/>
        <v>0</v>
      </c>
    </row>
    <row r="49" spans="1:10" ht="15" customHeight="1" x14ac:dyDescent="0.2">
      <c r="A49" s="212"/>
      <c r="B49" s="300"/>
      <c r="C49" s="195" t="s">
        <v>115</v>
      </c>
      <c r="D49" s="152"/>
      <c r="E49" s="18">
        <f>E44*E43/(E40*E48)</f>
        <v>2.4147420147420147</v>
      </c>
      <c r="F49" s="360" t="s">
        <v>16</v>
      </c>
      <c r="G49" s="57">
        <f>G44*G43/(G40*G48)</f>
        <v>2.4147420147420147</v>
      </c>
      <c r="H49" s="233">
        <f t="shared" si="0"/>
        <v>0</v>
      </c>
    </row>
    <row r="50" spans="1:10" ht="15" customHeight="1" x14ac:dyDescent="0.25">
      <c r="A50" s="212"/>
      <c r="B50" s="300"/>
      <c r="C50" s="12" t="s">
        <v>96</v>
      </c>
      <c r="D50" s="8"/>
      <c r="E50" s="17"/>
      <c r="F50" s="217"/>
      <c r="G50" s="17"/>
      <c r="H50" s="296"/>
      <c r="I50" s="23"/>
      <c r="J50" s="25"/>
    </row>
    <row r="51" spans="1:10" ht="15" customHeight="1" x14ac:dyDescent="0.2">
      <c r="A51" s="212"/>
      <c r="B51" s="303" t="s">
        <v>121</v>
      </c>
      <c r="C51" s="196" t="s">
        <v>214</v>
      </c>
      <c r="D51" s="32"/>
      <c r="E51" s="47">
        <v>3.5</v>
      </c>
      <c r="F51" s="33" t="s">
        <v>14</v>
      </c>
      <c r="G51" s="334">
        <v>3.5</v>
      </c>
      <c r="H51" s="233">
        <f t="shared" si="0"/>
        <v>0</v>
      </c>
      <c r="I51" s="23"/>
      <c r="J51" s="25"/>
    </row>
    <row r="52" spans="1:10" ht="15" customHeight="1" x14ac:dyDescent="0.2">
      <c r="A52" s="212"/>
      <c r="B52" s="300"/>
      <c r="C52" s="196" t="s">
        <v>95</v>
      </c>
      <c r="D52" s="32"/>
      <c r="E52" s="47">
        <v>0.6</v>
      </c>
      <c r="F52" s="33" t="s">
        <v>14</v>
      </c>
      <c r="G52" s="334">
        <v>0.6</v>
      </c>
      <c r="H52" s="233">
        <f t="shared" si="0"/>
        <v>0</v>
      </c>
      <c r="I52" s="23"/>
      <c r="J52" s="25"/>
    </row>
    <row r="53" spans="1:10" ht="15" customHeight="1" x14ac:dyDescent="0.2">
      <c r="A53" s="212"/>
      <c r="B53" s="300"/>
      <c r="C53" s="196" t="s">
        <v>148</v>
      </c>
      <c r="D53" s="32"/>
      <c r="E53" s="47">
        <v>0.05</v>
      </c>
      <c r="F53" s="33" t="s">
        <v>14</v>
      </c>
      <c r="G53" s="334">
        <v>0.05</v>
      </c>
      <c r="H53" s="233">
        <f t="shared" si="0"/>
        <v>0</v>
      </c>
      <c r="I53" s="23"/>
      <c r="J53" s="25"/>
    </row>
    <row r="54" spans="1:10" ht="15" customHeight="1" x14ac:dyDescent="0.2">
      <c r="A54" s="212"/>
      <c r="B54" s="300"/>
      <c r="C54" s="197" t="s">
        <v>224</v>
      </c>
      <c r="D54" s="229"/>
      <c r="E54" s="18">
        <v>0.5</v>
      </c>
      <c r="F54" s="14" t="s">
        <v>14</v>
      </c>
      <c r="G54" s="57">
        <v>0.5</v>
      </c>
      <c r="H54" s="233">
        <f t="shared" si="0"/>
        <v>0</v>
      </c>
      <c r="I54" s="23"/>
      <c r="J54" s="25"/>
    </row>
    <row r="55" spans="1:10" ht="15" customHeight="1" x14ac:dyDescent="0.2">
      <c r="A55" s="212"/>
      <c r="B55" s="303" t="s">
        <v>121</v>
      </c>
      <c r="C55" s="196" t="s">
        <v>169</v>
      </c>
      <c r="D55" s="32"/>
      <c r="E55" s="47">
        <v>4.2</v>
      </c>
      <c r="F55" s="33" t="s">
        <v>14</v>
      </c>
      <c r="G55" s="334">
        <v>4.2</v>
      </c>
      <c r="H55" s="233">
        <f t="shared" si="0"/>
        <v>0</v>
      </c>
      <c r="I55" s="23"/>
      <c r="J55" s="25"/>
    </row>
    <row r="56" spans="1:10" ht="15" customHeight="1" x14ac:dyDescent="0.2">
      <c r="A56" s="212"/>
      <c r="B56" s="300"/>
      <c r="C56" s="145" t="s">
        <v>215</v>
      </c>
      <c r="D56" s="333"/>
      <c r="E56" s="334">
        <f>E40*E51*E55</f>
        <v>88.2</v>
      </c>
      <c r="F56" s="60" t="s">
        <v>130</v>
      </c>
      <c r="G56" s="334">
        <f>G40*G51*G55</f>
        <v>88.2</v>
      </c>
      <c r="H56" s="233">
        <f t="shared" si="0"/>
        <v>0</v>
      </c>
      <c r="I56" s="23"/>
      <c r="J56" s="25"/>
    </row>
    <row r="57" spans="1:10" ht="15" customHeight="1" x14ac:dyDescent="0.2">
      <c r="A57" s="212"/>
      <c r="B57" s="300"/>
      <c r="C57" s="198" t="s">
        <v>170</v>
      </c>
      <c r="D57" s="228" t="str">
        <f>IF(E57&gt;E54,"excesiva","adecuada")</f>
        <v>adecuada</v>
      </c>
      <c r="E57" s="18">
        <f>E44/E56</f>
        <v>0.49280449280449284</v>
      </c>
      <c r="F57" s="14" t="s">
        <v>14</v>
      </c>
      <c r="G57" s="57">
        <f>G44/G56</f>
        <v>0.49280449280449284</v>
      </c>
      <c r="H57" s="233">
        <f t="shared" si="0"/>
        <v>0</v>
      </c>
      <c r="I57" s="23"/>
      <c r="J57" s="25"/>
    </row>
    <row r="58" spans="1:10" ht="15" customHeight="1" x14ac:dyDescent="0.2">
      <c r="A58" s="212"/>
      <c r="B58" s="303" t="s">
        <v>121</v>
      </c>
      <c r="C58" s="196" t="s">
        <v>171</v>
      </c>
      <c r="D58" s="32"/>
      <c r="E58" s="47">
        <v>2.7</v>
      </c>
      <c r="F58" s="33" t="s">
        <v>14</v>
      </c>
      <c r="G58" s="334">
        <v>2.7</v>
      </c>
      <c r="H58" s="233">
        <f t="shared" si="0"/>
        <v>0</v>
      </c>
      <c r="I58" s="23"/>
      <c r="J58" s="25"/>
    </row>
    <row r="59" spans="1:10" ht="15" customHeight="1" x14ac:dyDescent="0.2">
      <c r="A59" s="212"/>
      <c r="B59" s="300"/>
      <c r="C59" s="145" t="s">
        <v>227</v>
      </c>
      <c r="D59" s="333"/>
      <c r="E59" s="334">
        <f>E40*E51*E58</f>
        <v>56.7</v>
      </c>
      <c r="F59" s="60" t="s">
        <v>130</v>
      </c>
      <c r="G59" s="334">
        <f>G40*G51*G58</f>
        <v>56.7</v>
      </c>
      <c r="H59" s="233">
        <f t="shared" si="0"/>
        <v>0</v>
      </c>
      <c r="I59" s="23"/>
      <c r="J59" s="25"/>
    </row>
    <row r="60" spans="1:10" ht="15" customHeight="1" x14ac:dyDescent="0.2">
      <c r="A60" s="212"/>
      <c r="B60" s="300"/>
      <c r="C60" s="198" t="s">
        <v>172</v>
      </c>
      <c r="D60" s="228" t="str">
        <f>IF(E60&gt;E54,"excesiva","adecuada")</f>
        <v>adecuada</v>
      </c>
      <c r="E60" s="18">
        <f>E47/(E51*E58)</f>
        <v>0.38329238329238324</v>
      </c>
      <c r="F60" s="14" t="s">
        <v>14</v>
      </c>
      <c r="G60" s="57">
        <f>G47/(G51*G58)</f>
        <v>0.38329238329238324</v>
      </c>
      <c r="H60" s="233">
        <f t="shared" si="0"/>
        <v>0</v>
      </c>
      <c r="I60" s="23"/>
      <c r="J60" s="25"/>
    </row>
    <row r="61" spans="1:10" ht="15" customHeight="1" x14ac:dyDescent="0.2">
      <c r="A61" s="212"/>
      <c r="B61" s="303" t="s">
        <v>121</v>
      </c>
      <c r="C61" s="196" t="s">
        <v>229</v>
      </c>
      <c r="D61" s="32"/>
      <c r="E61" s="47">
        <v>2.5</v>
      </c>
      <c r="F61" s="33" t="s">
        <v>14</v>
      </c>
      <c r="G61" s="334">
        <v>2.5</v>
      </c>
      <c r="H61" s="233">
        <f t="shared" si="0"/>
        <v>0</v>
      </c>
      <c r="I61" s="23"/>
      <c r="J61" s="25"/>
    </row>
    <row r="62" spans="1:10" ht="15" customHeight="1" x14ac:dyDescent="0.2">
      <c r="A62" s="212"/>
      <c r="B62" s="300"/>
      <c r="C62" s="145" t="s">
        <v>228</v>
      </c>
      <c r="D62" s="333"/>
      <c r="E62" s="334">
        <f>E40*E51*E61</f>
        <v>52.5</v>
      </c>
      <c r="F62" s="60" t="s">
        <v>130</v>
      </c>
      <c r="G62" s="334">
        <f>G40*G51*G61</f>
        <v>52.5</v>
      </c>
      <c r="H62" s="233">
        <f t="shared" si="0"/>
        <v>0</v>
      </c>
      <c r="I62" s="23"/>
      <c r="J62" s="25"/>
    </row>
    <row r="63" spans="1:10" ht="15" customHeight="1" x14ac:dyDescent="0.2">
      <c r="A63" s="212"/>
      <c r="B63" s="300"/>
      <c r="C63" s="198" t="s">
        <v>226</v>
      </c>
      <c r="D63" s="228" t="str">
        <f>IF(E63&gt;E54,"excesiva","adecuada")</f>
        <v>adecuada</v>
      </c>
      <c r="E63" s="18">
        <f>E49/(E51*E61)</f>
        <v>0.27597051597051597</v>
      </c>
      <c r="F63" s="14" t="s">
        <v>14</v>
      </c>
      <c r="G63" s="57">
        <f>G49/(G51*G61)</f>
        <v>0.27597051597051597</v>
      </c>
      <c r="H63" s="233">
        <f t="shared" si="0"/>
        <v>0</v>
      </c>
      <c r="I63" s="23"/>
      <c r="J63" s="25"/>
    </row>
    <row r="64" spans="1:10" ht="15" customHeight="1" x14ac:dyDescent="0.25">
      <c r="A64" s="212"/>
      <c r="B64" s="300"/>
      <c r="C64" s="43" t="s">
        <v>77</v>
      </c>
      <c r="D64" s="10"/>
      <c r="E64" s="5"/>
      <c r="F64" s="6"/>
      <c r="G64" s="5"/>
      <c r="H64" s="296"/>
      <c r="I64" s="23"/>
      <c r="J64" s="25"/>
    </row>
    <row r="65" spans="1:10" ht="15" customHeight="1" x14ac:dyDescent="0.2">
      <c r="A65" s="212"/>
      <c r="B65" s="300"/>
      <c r="C65" s="44" t="s">
        <v>5</v>
      </c>
      <c r="D65" s="311" t="s">
        <v>204</v>
      </c>
      <c r="E65" s="312">
        <f>25.4/2</f>
        <v>12.7</v>
      </c>
      <c r="F65" s="45" t="s">
        <v>6</v>
      </c>
      <c r="G65" s="372">
        <f>25.4/2</f>
        <v>12.7</v>
      </c>
      <c r="H65" s="233">
        <f t="shared" si="0"/>
        <v>0</v>
      </c>
      <c r="I65" s="23"/>
      <c r="J65" s="25"/>
    </row>
    <row r="66" spans="1:10" ht="15" customHeight="1" x14ac:dyDescent="0.2">
      <c r="A66" s="212"/>
      <c r="B66" s="300"/>
      <c r="C66" s="44" t="s">
        <v>78</v>
      </c>
      <c r="D66" s="311" t="s">
        <v>205</v>
      </c>
      <c r="E66" s="312">
        <f>25.4/8</f>
        <v>3.1749999999999998</v>
      </c>
      <c r="F66" s="45" t="s">
        <v>6</v>
      </c>
      <c r="G66" s="372">
        <f>25.4/8</f>
        <v>3.1749999999999998</v>
      </c>
      <c r="H66" s="233">
        <f t="shared" si="0"/>
        <v>0</v>
      </c>
      <c r="I66" s="23"/>
      <c r="J66" s="25"/>
    </row>
    <row r="67" spans="1:10" ht="15" customHeight="1" x14ac:dyDescent="0.2">
      <c r="A67" s="212"/>
      <c r="B67" s="300"/>
      <c r="C67" s="199" t="s">
        <v>7</v>
      </c>
      <c r="D67" s="74"/>
      <c r="E67" s="75">
        <f>0.25*3.14*(E65^2-E66^2)</f>
        <v>118.699359375</v>
      </c>
      <c r="F67" s="6" t="s">
        <v>8</v>
      </c>
      <c r="G67" s="75">
        <f>0.25*3.14*(G65^2-G66^2)</f>
        <v>118.699359375</v>
      </c>
      <c r="H67" s="233">
        <f t="shared" si="0"/>
        <v>0</v>
      </c>
      <c r="I67" s="23"/>
      <c r="J67" s="25"/>
    </row>
    <row r="68" spans="1:10" ht="15" customHeight="1" x14ac:dyDescent="0.2">
      <c r="A68" s="212"/>
      <c r="B68" s="300"/>
      <c r="C68" s="200" t="s">
        <v>9</v>
      </c>
      <c r="D68" s="72" t="s">
        <v>10</v>
      </c>
      <c r="E68" s="73">
        <v>0.57999999999999996</v>
      </c>
      <c r="F68" s="71"/>
      <c r="G68" s="373">
        <v>0.57999999999999996</v>
      </c>
      <c r="H68" s="233">
        <f t="shared" si="0"/>
        <v>0</v>
      </c>
      <c r="I68" s="23"/>
      <c r="J68" s="25"/>
    </row>
    <row r="69" spans="1:10" ht="15" customHeight="1" x14ac:dyDescent="0.2">
      <c r="A69" s="212"/>
      <c r="B69" s="303" t="s">
        <v>121</v>
      </c>
      <c r="C69" s="340" t="s">
        <v>212</v>
      </c>
      <c r="D69" s="341"/>
      <c r="E69" s="342">
        <v>30</v>
      </c>
      <c r="F69" s="350" t="s">
        <v>62</v>
      </c>
      <c r="G69" s="361">
        <v>30</v>
      </c>
      <c r="H69" s="233">
        <f>G69-E69</f>
        <v>0</v>
      </c>
      <c r="I69" s="23"/>
      <c r="J69" s="25"/>
    </row>
    <row r="70" spans="1:10" ht="15" customHeight="1" x14ac:dyDescent="0.25">
      <c r="A70" s="212"/>
      <c r="B70" s="300"/>
      <c r="C70" s="48" t="s">
        <v>161</v>
      </c>
      <c r="D70" s="8"/>
      <c r="E70" s="17"/>
      <c r="F70" s="217"/>
      <c r="G70" s="17"/>
      <c r="H70" s="296"/>
      <c r="I70" s="22"/>
    </row>
    <row r="71" spans="1:10" ht="15" customHeight="1" x14ac:dyDescent="0.2">
      <c r="A71" s="212"/>
      <c r="B71" s="303" t="s">
        <v>121</v>
      </c>
      <c r="C71" s="201" t="s">
        <v>79</v>
      </c>
      <c r="D71" s="13"/>
      <c r="E71" s="37">
        <v>0.78</v>
      </c>
      <c r="F71" s="4" t="s">
        <v>14</v>
      </c>
      <c r="G71" s="374">
        <v>0.78</v>
      </c>
      <c r="H71" s="233">
        <f t="shared" ref="H71:H77" si="1">G71-E71</f>
        <v>0</v>
      </c>
      <c r="I71" s="22"/>
    </row>
    <row r="72" spans="1:10" ht="15" customHeight="1" x14ac:dyDescent="0.2">
      <c r="A72" s="212"/>
      <c r="B72" s="300"/>
      <c r="C72" s="199" t="s">
        <v>24</v>
      </c>
      <c r="D72" s="76"/>
      <c r="E72" s="75">
        <f>(19.6*E71)^0.5</f>
        <v>3.9099872122553037</v>
      </c>
      <c r="F72" s="6" t="s">
        <v>2</v>
      </c>
      <c r="G72" s="75">
        <f>(19.6*G71)^0.5</f>
        <v>3.9099872122553037</v>
      </c>
      <c r="H72" s="233">
        <f t="shared" si="1"/>
        <v>0</v>
      </c>
      <c r="I72" s="22"/>
    </row>
    <row r="73" spans="1:10" ht="15" customHeight="1" x14ac:dyDescent="0.2">
      <c r="A73" s="212"/>
      <c r="B73" s="300"/>
      <c r="C73" s="197" t="s">
        <v>80</v>
      </c>
      <c r="D73" s="29"/>
      <c r="E73" s="18">
        <f>1000*E67*E68*E72/1000000</f>
        <v>0.26918552681030505</v>
      </c>
      <c r="F73" s="14" t="s">
        <v>11</v>
      </c>
      <c r="G73" s="57">
        <f>1000*G67*G68*G72/1000000</f>
        <v>0.26918552681030505</v>
      </c>
      <c r="H73" s="233">
        <f t="shared" si="1"/>
        <v>0</v>
      </c>
      <c r="I73" s="22"/>
    </row>
    <row r="74" spans="1:10" ht="15" customHeight="1" x14ac:dyDescent="0.2">
      <c r="A74" s="212"/>
      <c r="B74" s="303" t="s">
        <v>121</v>
      </c>
      <c r="C74" s="196" t="s">
        <v>81</v>
      </c>
      <c r="D74" s="32"/>
      <c r="E74" s="36">
        <v>4</v>
      </c>
      <c r="F74" s="33" t="s">
        <v>4</v>
      </c>
      <c r="G74" s="16">
        <v>4</v>
      </c>
      <c r="H74" s="233">
        <f t="shared" si="1"/>
        <v>0</v>
      </c>
      <c r="I74" s="22"/>
    </row>
    <row r="75" spans="1:10" ht="15" customHeight="1" x14ac:dyDescent="0.2">
      <c r="A75" s="212"/>
      <c r="B75" s="303" t="s">
        <v>121</v>
      </c>
      <c r="C75" s="196" t="s">
        <v>82</v>
      </c>
      <c r="D75" s="97"/>
      <c r="E75" s="36">
        <v>3</v>
      </c>
      <c r="F75" s="33" t="s">
        <v>4</v>
      </c>
      <c r="G75" s="16">
        <v>3</v>
      </c>
      <c r="H75" s="233">
        <f t="shared" si="1"/>
        <v>0</v>
      </c>
      <c r="I75" s="22"/>
    </row>
    <row r="76" spans="1:10" ht="15" customHeight="1" x14ac:dyDescent="0.2">
      <c r="A76" s="212"/>
      <c r="B76" s="300"/>
      <c r="C76" s="202" t="s">
        <v>208</v>
      </c>
      <c r="D76" s="68"/>
      <c r="E76" s="324">
        <f>E40*E74*E75</f>
        <v>72</v>
      </c>
      <c r="F76" s="349" t="s">
        <v>4</v>
      </c>
      <c r="G76" s="361">
        <f>G40*G74*G75</f>
        <v>72</v>
      </c>
      <c r="H76" s="233">
        <f t="shared" si="1"/>
        <v>0</v>
      </c>
      <c r="I76" s="22"/>
    </row>
    <row r="77" spans="1:10" ht="15" customHeight="1" x14ac:dyDescent="0.2">
      <c r="A77" s="212"/>
      <c r="B77" s="300"/>
      <c r="C77" s="202" t="s">
        <v>213</v>
      </c>
      <c r="D77" s="68"/>
      <c r="E77" s="325">
        <f>E73*E76</f>
        <v>19.381357930341963</v>
      </c>
      <c r="F77" s="349" t="s">
        <v>11</v>
      </c>
      <c r="G77" s="57">
        <f>G73*G76</f>
        <v>19.381357930341963</v>
      </c>
      <c r="H77" s="233">
        <f t="shared" si="1"/>
        <v>0</v>
      </c>
      <c r="I77" s="22"/>
    </row>
    <row r="78" spans="1:10" ht="15" customHeight="1" x14ac:dyDescent="0.2">
      <c r="A78" s="212"/>
      <c r="B78" s="303" t="s">
        <v>121</v>
      </c>
      <c r="C78" s="201" t="s">
        <v>46</v>
      </c>
      <c r="D78" s="13"/>
      <c r="E78" s="26">
        <v>0.5</v>
      </c>
      <c r="F78" s="33"/>
      <c r="G78" s="375">
        <v>0.5</v>
      </c>
      <c r="H78" s="233">
        <f>G78-E78</f>
        <v>0</v>
      </c>
      <c r="I78" s="22"/>
    </row>
    <row r="79" spans="1:10" ht="15" customHeight="1" x14ac:dyDescent="0.2">
      <c r="A79" s="212"/>
      <c r="B79" s="303"/>
      <c r="C79" s="337" t="s">
        <v>250</v>
      </c>
      <c r="D79" s="338"/>
      <c r="E79" s="168">
        <f>E69*E78</f>
        <v>15</v>
      </c>
      <c r="F79" s="351" t="s">
        <v>62</v>
      </c>
      <c r="G79" s="361">
        <f>G69*G78</f>
        <v>15</v>
      </c>
      <c r="H79" s="233">
        <f>G79-E79</f>
        <v>0</v>
      </c>
      <c r="I79" s="22"/>
    </row>
    <row r="80" spans="1:10" ht="15" customHeight="1" x14ac:dyDescent="0.2">
      <c r="A80" s="212"/>
      <c r="B80" s="303"/>
      <c r="C80" s="343" t="s">
        <v>221</v>
      </c>
      <c r="D80" s="344"/>
      <c r="E80" s="345">
        <v>3</v>
      </c>
      <c r="F80" s="174" t="s">
        <v>12</v>
      </c>
      <c r="G80" s="361">
        <v>3</v>
      </c>
      <c r="H80" s="233">
        <f t="shared" ref="H80:H86" si="2">G80-E80</f>
        <v>0</v>
      </c>
      <c r="I80" s="22"/>
    </row>
    <row r="81" spans="1:9" ht="15" customHeight="1" x14ac:dyDescent="0.2">
      <c r="A81" s="212"/>
      <c r="B81" s="303"/>
      <c r="C81" s="346" t="s">
        <v>222</v>
      </c>
      <c r="D81" s="347" t="s">
        <v>223</v>
      </c>
      <c r="E81" s="348">
        <v>4</v>
      </c>
      <c r="F81" s="174" t="s">
        <v>6</v>
      </c>
      <c r="G81" s="57">
        <v>4</v>
      </c>
      <c r="H81" s="233">
        <f t="shared" si="2"/>
        <v>0</v>
      </c>
      <c r="I81" s="22"/>
    </row>
    <row r="82" spans="1:9" ht="15" customHeight="1" x14ac:dyDescent="0.2">
      <c r="A82" s="212"/>
      <c r="B82" s="303"/>
      <c r="C82" s="346" t="s">
        <v>216</v>
      </c>
      <c r="D82" s="347"/>
      <c r="E82" s="348">
        <v>1.6</v>
      </c>
      <c r="F82" s="174" t="s">
        <v>6</v>
      </c>
      <c r="G82" s="57">
        <v>1.6</v>
      </c>
      <c r="H82" s="233">
        <f t="shared" si="2"/>
        <v>0</v>
      </c>
      <c r="I82" s="22"/>
    </row>
    <row r="83" spans="1:9" ht="15" customHeight="1" x14ac:dyDescent="0.2">
      <c r="A83" s="212"/>
      <c r="B83" s="303"/>
      <c r="C83" s="56" t="s">
        <v>217</v>
      </c>
      <c r="D83" s="276"/>
      <c r="E83" s="335">
        <f>((E81-E82)/(E81))^2</f>
        <v>0.36</v>
      </c>
      <c r="F83" s="60"/>
      <c r="G83" s="335">
        <f>((G81-G82)/(G81))^2</f>
        <v>0.36</v>
      </c>
      <c r="H83" s="233">
        <f t="shared" si="2"/>
        <v>0</v>
      </c>
      <c r="I83" s="22"/>
    </row>
    <row r="84" spans="1:9" ht="15" customHeight="1" x14ac:dyDescent="0.2">
      <c r="A84" s="212"/>
      <c r="B84" s="303"/>
      <c r="C84" s="56" t="s">
        <v>218</v>
      </c>
      <c r="D84" s="276"/>
      <c r="E84" s="336">
        <f>E83*0.25*3.14*(0.0254*E80)^2</f>
        <v>1.6408999439999996E-3</v>
      </c>
      <c r="F84" s="60" t="s">
        <v>130</v>
      </c>
      <c r="G84" s="336">
        <f>G83*0.25*3.14*(0.0254*G80)^2</f>
        <v>1.6408999439999996E-3</v>
      </c>
      <c r="H84" s="233">
        <f t="shared" si="2"/>
        <v>0</v>
      </c>
      <c r="I84" s="22"/>
    </row>
    <row r="85" spans="1:9" ht="15" customHeight="1" x14ac:dyDescent="0.2">
      <c r="A85" s="212"/>
      <c r="B85" s="303"/>
      <c r="C85" s="366" t="s">
        <v>241</v>
      </c>
      <c r="D85" s="20"/>
      <c r="E85" s="359">
        <f>0.001*E77/(E40*E84)</f>
        <v>1.9685699506146497</v>
      </c>
      <c r="F85" s="147" t="s">
        <v>2</v>
      </c>
      <c r="G85" s="359">
        <f>0.001*G77/(G40*G84)</f>
        <v>1.9685699506146497</v>
      </c>
      <c r="H85" s="233">
        <f t="shared" si="2"/>
        <v>0</v>
      </c>
      <c r="I85" s="22"/>
    </row>
    <row r="86" spans="1:9" ht="15" customHeight="1" x14ac:dyDescent="0.2">
      <c r="A86" s="212"/>
      <c r="B86" s="303"/>
      <c r="C86" s="367" t="s">
        <v>242</v>
      </c>
      <c r="D86" s="368"/>
      <c r="E86" s="339">
        <f>E85^2/19.6</f>
        <v>0.19771773726851857</v>
      </c>
      <c r="F86" s="351" t="s">
        <v>14</v>
      </c>
      <c r="G86" s="57">
        <f>G85^2/19.6</f>
        <v>0.19771773726851857</v>
      </c>
      <c r="H86" s="233">
        <f t="shared" si="2"/>
        <v>0</v>
      </c>
      <c r="I86" s="22"/>
    </row>
    <row r="87" spans="1:9" ht="15" customHeight="1" x14ac:dyDescent="0.2">
      <c r="A87" s="212"/>
      <c r="B87" s="306" t="s">
        <v>122</v>
      </c>
      <c r="C87" s="199" t="s">
        <v>61</v>
      </c>
      <c r="D87" s="2"/>
      <c r="E87" s="57">
        <f>'Tuberías '!E3</f>
        <v>2.2243862643956409</v>
      </c>
      <c r="F87" s="55" t="s">
        <v>14</v>
      </c>
      <c r="G87" s="57">
        <f>'Tuberías '!G3</f>
        <v>2.2243862643956409</v>
      </c>
      <c r="H87" s="233">
        <f t="shared" ref="H87:H93" si="3">G87-E87</f>
        <v>0</v>
      </c>
    </row>
    <row r="88" spans="1:9" ht="15" customHeight="1" x14ac:dyDescent="0.2">
      <c r="A88" s="212"/>
      <c r="B88" s="306" t="s">
        <v>145</v>
      </c>
      <c r="C88" s="201" t="s">
        <v>26</v>
      </c>
      <c r="D88" s="13"/>
      <c r="E88" s="37">
        <v>3.2</v>
      </c>
      <c r="F88" s="4" t="s">
        <v>14</v>
      </c>
      <c r="G88" s="374">
        <v>3.2</v>
      </c>
      <c r="H88" s="233">
        <f t="shared" si="3"/>
        <v>0</v>
      </c>
    </row>
    <row r="89" spans="1:9" ht="15" customHeight="1" x14ac:dyDescent="0.2">
      <c r="A89" s="212"/>
      <c r="B89" s="305"/>
      <c r="C89" s="202" t="s">
        <v>40</v>
      </c>
      <c r="D89" s="68"/>
      <c r="E89" s="77">
        <f>E71+SUM(E87:E88)</f>
        <v>6.2043862643956418</v>
      </c>
      <c r="F89" s="69" t="s">
        <v>14</v>
      </c>
      <c r="G89" s="258">
        <f>G71+SUM(G87:G88)</f>
        <v>6.2043862643956418</v>
      </c>
      <c r="H89" s="233">
        <f t="shared" si="3"/>
        <v>0</v>
      </c>
    </row>
    <row r="90" spans="1:9" ht="15" customHeight="1" x14ac:dyDescent="0.2">
      <c r="A90" s="212"/>
      <c r="B90" s="306" t="s">
        <v>163</v>
      </c>
      <c r="C90" s="203" t="s">
        <v>21</v>
      </c>
      <c r="D90" s="85"/>
      <c r="E90" s="86">
        <v>0.8</v>
      </c>
      <c r="F90" s="62"/>
      <c r="G90" s="375">
        <v>0.8</v>
      </c>
      <c r="H90" s="233">
        <f t="shared" si="3"/>
        <v>0</v>
      </c>
    </row>
    <row r="91" spans="1:9" ht="15" customHeight="1" x14ac:dyDescent="0.2">
      <c r="A91" s="212"/>
      <c r="B91" s="305"/>
      <c r="C91" s="407" t="s">
        <v>41</v>
      </c>
      <c r="D91" s="408"/>
      <c r="E91" s="78">
        <f>9.81*0.001*E77*E89/E90</f>
        <v>1.4745586467588825</v>
      </c>
      <c r="F91" s="79" t="s">
        <v>15</v>
      </c>
      <c r="G91" s="57">
        <f>9.81*0.001*G77*G89/G90</f>
        <v>1.4745586467588825</v>
      </c>
      <c r="H91" s="233">
        <f t="shared" si="3"/>
        <v>0</v>
      </c>
    </row>
    <row r="92" spans="1:9" ht="15" customHeight="1" x14ac:dyDescent="0.2">
      <c r="A92" s="212"/>
      <c r="B92" s="305"/>
      <c r="C92" s="409"/>
      <c r="D92" s="410"/>
      <c r="E92" s="80">
        <f>E91/0.746</f>
        <v>1.976620169918073</v>
      </c>
      <c r="F92" s="81" t="s">
        <v>22</v>
      </c>
      <c r="G92" s="374">
        <f>G91/0.746</f>
        <v>1.976620169918073</v>
      </c>
      <c r="H92" s="233">
        <f t="shared" si="3"/>
        <v>0</v>
      </c>
    </row>
    <row r="93" spans="1:9" ht="15" customHeight="1" x14ac:dyDescent="0.2">
      <c r="A93" s="212"/>
      <c r="B93" s="305"/>
      <c r="C93" s="329" t="s">
        <v>211</v>
      </c>
      <c r="D93" s="330"/>
      <c r="E93" s="28">
        <f>E15*E78*E91*24*365</f>
        <v>6458.5668728039045</v>
      </c>
      <c r="F93" s="331" t="s">
        <v>23</v>
      </c>
      <c r="G93" s="5">
        <f>G15*G78*G91*24*365</f>
        <v>6458.5668728039045</v>
      </c>
      <c r="H93" s="233">
        <f t="shared" si="3"/>
        <v>0</v>
      </c>
    </row>
    <row r="94" spans="1:9" ht="15" customHeight="1" x14ac:dyDescent="0.25">
      <c r="A94" s="212"/>
      <c r="B94" s="305"/>
      <c r="C94" s="43" t="s">
        <v>260</v>
      </c>
      <c r="D94" s="2"/>
      <c r="E94" s="16"/>
      <c r="F94" s="218"/>
      <c r="G94" s="16"/>
      <c r="H94" s="296"/>
    </row>
    <row r="95" spans="1:9" ht="15" customHeight="1" x14ac:dyDescent="0.2">
      <c r="A95" s="212"/>
      <c r="B95" s="303" t="s">
        <v>121</v>
      </c>
      <c r="C95" s="201" t="s">
        <v>46</v>
      </c>
      <c r="D95" s="13"/>
      <c r="E95" s="26">
        <v>0.5</v>
      </c>
      <c r="F95" s="33"/>
      <c r="G95" s="375">
        <v>0.5</v>
      </c>
      <c r="H95" s="233">
        <f>G95-E95</f>
        <v>0</v>
      </c>
    </row>
    <row r="96" spans="1:9" ht="15" customHeight="1" x14ac:dyDescent="0.2">
      <c r="A96" s="212"/>
      <c r="B96" s="303"/>
      <c r="C96" s="337" t="s">
        <v>230</v>
      </c>
      <c r="D96" s="338"/>
      <c r="E96" s="168">
        <f>E69*E95</f>
        <v>15</v>
      </c>
      <c r="F96" s="351" t="s">
        <v>62</v>
      </c>
      <c r="G96" s="361">
        <f>G69*G95</f>
        <v>15</v>
      </c>
      <c r="H96" s="233">
        <f>G96-E96</f>
        <v>0</v>
      </c>
    </row>
    <row r="97" spans="1:8" ht="15" customHeight="1" x14ac:dyDescent="0.2">
      <c r="A97" s="212"/>
      <c r="B97" s="303" t="s">
        <v>121</v>
      </c>
      <c r="C97" s="201" t="s">
        <v>244</v>
      </c>
      <c r="D97" s="13"/>
      <c r="E97" s="37">
        <v>0.77</v>
      </c>
      <c r="F97" s="4" t="s">
        <v>14</v>
      </c>
      <c r="G97" s="374">
        <v>0.77</v>
      </c>
      <c r="H97" s="233">
        <f>G97-E97</f>
        <v>0</v>
      </c>
    </row>
    <row r="98" spans="1:8" ht="15" customHeight="1" x14ac:dyDescent="0.2">
      <c r="A98" s="212"/>
      <c r="B98" s="300"/>
      <c r="C98" s="199" t="s">
        <v>24</v>
      </c>
      <c r="D98" s="76"/>
      <c r="E98" s="75">
        <f>(19.6*E97)^0.5</f>
        <v>3.8848423391432507</v>
      </c>
      <c r="F98" s="6" t="s">
        <v>2</v>
      </c>
      <c r="G98" s="75">
        <f>(19.6*G97)^0.5</f>
        <v>3.8848423391432507</v>
      </c>
      <c r="H98" s="233">
        <f>G98-E98</f>
        <v>0</v>
      </c>
    </row>
    <row r="99" spans="1:8" ht="15" customHeight="1" x14ac:dyDescent="0.2">
      <c r="A99" s="212"/>
      <c r="B99" s="305"/>
      <c r="C99" s="198" t="s">
        <v>80</v>
      </c>
      <c r="D99" s="116"/>
      <c r="E99" s="18">
        <f>1000*E67*E68*E98/1000000</f>
        <v>0.26745441221892463</v>
      </c>
      <c r="F99" s="117" t="s">
        <v>11</v>
      </c>
      <c r="G99" s="57">
        <f>1000*G67*G68*G98/1000000</f>
        <v>0.26745441221892463</v>
      </c>
      <c r="H99" s="233">
        <f t="shared" ref="H99:H160" si="4">G99-E99</f>
        <v>0</v>
      </c>
    </row>
    <row r="100" spans="1:8" ht="15" customHeight="1" x14ac:dyDescent="0.2">
      <c r="A100" s="212"/>
      <c r="B100" s="305"/>
      <c r="C100" s="196" t="s">
        <v>231</v>
      </c>
      <c r="D100" s="32"/>
      <c r="E100" s="36">
        <v>3</v>
      </c>
      <c r="F100" s="33" t="s">
        <v>4</v>
      </c>
      <c r="G100" s="16">
        <v>3</v>
      </c>
      <c r="H100" s="233">
        <f t="shared" si="4"/>
        <v>0</v>
      </c>
    </row>
    <row r="101" spans="1:8" ht="15" customHeight="1" x14ac:dyDescent="0.2">
      <c r="A101" s="212"/>
      <c r="B101" s="305"/>
      <c r="C101" s="196" t="s">
        <v>233</v>
      </c>
      <c r="D101" s="32"/>
      <c r="E101" s="36">
        <v>2</v>
      </c>
      <c r="F101" s="33" t="s">
        <v>4</v>
      </c>
      <c r="G101" s="16">
        <v>2</v>
      </c>
      <c r="H101" s="233">
        <f t="shared" si="4"/>
        <v>0</v>
      </c>
    </row>
    <row r="102" spans="1:8" ht="15" customHeight="1" x14ac:dyDescent="0.2">
      <c r="A102" s="212"/>
      <c r="B102" s="305"/>
      <c r="C102" s="145" t="s">
        <v>81</v>
      </c>
      <c r="D102" s="54"/>
      <c r="E102" s="16">
        <f>E100+E101</f>
        <v>5</v>
      </c>
      <c r="F102" s="60" t="s">
        <v>4</v>
      </c>
      <c r="G102" s="16">
        <f>G100+G101</f>
        <v>5</v>
      </c>
      <c r="H102" s="233">
        <f t="shared" si="4"/>
        <v>0</v>
      </c>
    </row>
    <row r="103" spans="1:8" ht="15" customHeight="1" x14ac:dyDescent="0.2">
      <c r="A103" s="212"/>
      <c r="B103" s="305"/>
      <c r="C103" s="196" t="s">
        <v>82</v>
      </c>
      <c r="D103" s="32"/>
      <c r="E103" s="36">
        <v>3</v>
      </c>
      <c r="F103" s="33" t="s">
        <v>4</v>
      </c>
      <c r="G103" s="16">
        <v>3</v>
      </c>
      <c r="H103" s="233">
        <f t="shared" si="4"/>
        <v>0</v>
      </c>
    </row>
    <row r="104" spans="1:8" ht="15" customHeight="1" x14ac:dyDescent="0.2">
      <c r="A104" s="212"/>
      <c r="B104" s="305"/>
      <c r="C104" s="199" t="s">
        <v>232</v>
      </c>
      <c r="D104" s="2"/>
      <c r="E104" s="361">
        <f>E40*E103*E100</f>
        <v>54</v>
      </c>
      <c r="F104" s="147" t="s">
        <v>4</v>
      </c>
      <c r="G104" s="361">
        <f>G40*G103*G100</f>
        <v>54</v>
      </c>
      <c r="H104" s="233">
        <f t="shared" si="4"/>
        <v>0</v>
      </c>
    </row>
    <row r="105" spans="1:8" ht="15" customHeight="1" x14ac:dyDescent="0.2">
      <c r="A105" s="212"/>
      <c r="B105" s="305"/>
      <c r="C105" s="198" t="s">
        <v>234</v>
      </c>
      <c r="D105" s="116"/>
      <c r="E105" s="18">
        <f>E99*E104</f>
        <v>14.44253825982193</v>
      </c>
      <c r="F105" s="117" t="s">
        <v>11</v>
      </c>
      <c r="G105" s="57">
        <f>G99*G104</f>
        <v>14.44253825982193</v>
      </c>
      <c r="H105" s="233">
        <f t="shared" si="4"/>
        <v>0</v>
      </c>
    </row>
    <row r="106" spans="1:8" ht="15" customHeight="1" x14ac:dyDescent="0.2">
      <c r="A106" s="212"/>
      <c r="B106" s="305"/>
      <c r="C106" s="199" t="s">
        <v>236</v>
      </c>
      <c r="D106" s="2"/>
      <c r="E106" s="361">
        <f>E40*E101*E103</f>
        <v>36</v>
      </c>
      <c r="F106" s="147" t="s">
        <v>4</v>
      </c>
      <c r="G106" s="361">
        <f>G40*G101*G103</f>
        <v>36</v>
      </c>
      <c r="H106" s="233">
        <f t="shared" si="4"/>
        <v>0</v>
      </c>
    </row>
    <row r="107" spans="1:8" ht="15" customHeight="1" x14ac:dyDescent="0.2">
      <c r="A107" s="212"/>
      <c r="B107" s="305"/>
      <c r="C107" s="198" t="s">
        <v>235</v>
      </c>
      <c r="D107" s="116"/>
      <c r="E107" s="18">
        <f>E106*E99</f>
        <v>9.6283588398812867</v>
      </c>
      <c r="F107" s="117" t="s">
        <v>11</v>
      </c>
      <c r="G107" s="57">
        <f>G106*G99</f>
        <v>9.6283588398812867</v>
      </c>
      <c r="H107" s="233">
        <f t="shared" si="4"/>
        <v>0</v>
      </c>
    </row>
    <row r="108" spans="1:8" ht="15" customHeight="1" x14ac:dyDescent="0.2">
      <c r="A108" s="212"/>
      <c r="B108" s="305"/>
      <c r="C108" s="202" t="s">
        <v>209</v>
      </c>
      <c r="D108" s="68"/>
      <c r="E108" s="324">
        <f>E40*E102*E103</f>
        <v>90</v>
      </c>
      <c r="F108" s="349" t="s">
        <v>4</v>
      </c>
      <c r="G108" s="361">
        <f>G40*G102*G103</f>
        <v>90</v>
      </c>
      <c r="H108" s="233">
        <f t="shared" si="4"/>
        <v>0</v>
      </c>
    </row>
    <row r="109" spans="1:8" ht="15" customHeight="1" x14ac:dyDescent="0.2">
      <c r="A109" s="212"/>
      <c r="B109" s="305"/>
      <c r="C109" s="204" t="s">
        <v>42</v>
      </c>
      <c r="D109" s="82"/>
      <c r="E109" s="83">
        <f>E99*E108</f>
        <v>24.070897099703217</v>
      </c>
      <c r="F109" s="84" t="s">
        <v>11</v>
      </c>
      <c r="G109" s="258">
        <f>G99*G108</f>
        <v>24.070897099703217</v>
      </c>
      <c r="H109" s="233">
        <f t="shared" si="4"/>
        <v>0</v>
      </c>
    </row>
    <row r="110" spans="1:8" ht="15" customHeight="1" x14ac:dyDescent="0.2">
      <c r="A110" s="212"/>
      <c r="B110" s="306" t="s">
        <v>122</v>
      </c>
      <c r="C110" s="197" t="s">
        <v>61</v>
      </c>
      <c r="D110" s="29"/>
      <c r="E110" s="18">
        <f>'Tuberías '!E70</f>
        <v>1.8761681006150788</v>
      </c>
      <c r="F110" s="14" t="s">
        <v>14</v>
      </c>
      <c r="G110" s="57">
        <f>'Tuberías '!G70</f>
        <v>1.8761681006150788</v>
      </c>
      <c r="H110" s="233">
        <f t="shared" si="4"/>
        <v>0</v>
      </c>
    </row>
    <row r="111" spans="1:8" ht="15" customHeight="1" x14ac:dyDescent="0.2">
      <c r="A111" s="212"/>
      <c r="B111" s="306" t="s">
        <v>145</v>
      </c>
      <c r="C111" s="201" t="s">
        <v>26</v>
      </c>
      <c r="D111" s="13"/>
      <c r="E111" s="37">
        <v>3.2</v>
      </c>
      <c r="F111" s="4" t="s">
        <v>14</v>
      </c>
      <c r="G111" s="374">
        <v>3.2</v>
      </c>
      <c r="H111" s="233">
        <f t="shared" si="4"/>
        <v>0</v>
      </c>
    </row>
    <row r="112" spans="1:8" ht="15" customHeight="1" x14ac:dyDescent="0.2">
      <c r="A112" s="212"/>
      <c r="B112" s="305"/>
      <c r="C112" s="204" t="s">
        <v>40</v>
      </c>
      <c r="D112" s="82"/>
      <c r="E112" s="83">
        <f>E71+SUM(E110:E111)</f>
        <v>5.8561681006150792</v>
      </c>
      <c r="F112" s="84" t="s">
        <v>14</v>
      </c>
      <c r="G112" s="258">
        <f>G71+SUM(G110:G111)</f>
        <v>5.8561681006150792</v>
      </c>
      <c r="H112" s="233">
        <f t="shared" si="4"/>
        <v>0</v>
      </c>
    </row>
    <row r="113" spans="1:8" ht="15" customHeight="1" x14ac:dyDescent="0.2">
      <c r="A113" s="212"/>
      <c r="B113" s="305"/>
      <c r="C113" s="203" t="s">
        <v>21</v>
      </c>
      <c r="D113" s="85"/>
      <c r="E113" s="86">
        <v>0.8</v>
      </c>
      <c r="F113" s="62"/>
      <c r="G113" s="375">
        <v>0.8</v>
      </c>
      <c r="H113" s="233">
        <f t="shared" si="4"/>
        <v>0</v>
      </c>
    </row>
    <row r="114" spans="1:8" ht="15" customHeight="1" x14ac:dyDescent="0.25">
      <c r="A114" s="212"/>
      <c r="B114" s="305"/>
      <c r="C114" s="313" t="s">
        <v>41</v>
      </c>
      <c r="D114" s="326"/>
      <c r="E114" s="78">
        <f>9.81*0.001*E109*E112/E113</f>
        <v>1.7285614821656137</v>
      </c>
      <c r="F114" s="79" t="s">
        <v>15</v>
      </c>
      <c r="G114" s="75">
        <f>9.81*0.001*G109*G112/G113</f>
        <v>1.7285614821656137</v>
      </c>
      <c r="H114" s="233">
        <f t="shared" si="4"/>
        <v>0</v>
      </c>
    </row>
    <row r="115" spans="1:8" ht="15" customHeight="1" x14ac:dyDescent="0.25">
      <c r="A115" s="212"/>
      <c r="B115" s="305"/>
      <c r="C115" s="314"/>
      <c r="D115" s="327"/>
      <c r="E115" s="80">
        <f>E114/0.746</f>
        <v>2.3171065444579271</v>
      </c>
      <c r="F115" s="81" t="s">
        <v>22</v>
      </c>
      <c r="G115" s="57">
        <f>G114/0.746</f>
        <v>2.3171065444579271</v>
      </c>
      <c r="H115" s="233">
        <f t="shared" si="4"/>
        <v>0</v>
      </c>
    </row>
    <row r="116" spans="1:8" ht="15" customHeight="1" x14ac:dyDescent="0.2">
      <c r="A116" s="212"/>
      <c r="B116" s="305"/>
      <c r="C116" s="329" t="s">
        <v>258</v>
      </c>
      <c r="D116" s="330"/>
      <c r="E116" s="28">
        <f>E15*E95*E114*24*365</f>
        <v>7571.0992918853881</v>
      </c>
      <c r="F116" s="331" t="s">
        <v>23</v>
      </c>
      <c r="G116" s="5">
        <f>G15*G95*G114*24*365</f>
        <v>7571.0992918853881</v>
      </c>
      <c r="H116" s="233">
        <f t="shared" si="4"/>
        <v>0</v>
      </c>
    </row>
    <row r="117" spans="1:8" ht="15" customHeight="1" x14ac:dyDescent="0.25">
      <c r="A117" s="212"/>
      <c r="B117" s="305"/>
      <c r="C117" s="43" t="s">
        <v>239</v>
      </c>
      <c r="D117" s="2"/>
      <c r="E117" s="16"/>
      <c r="F117" s="218"/>
      <c r="G117" s="16"/>
      <c r="H117" s="296"/>
    </row>
    <row r="118" spans="1:8" ht="15" customHeight="1" x14ac:dyDescent="0.2">
      <c r="A118" s="212"/>
      <c r="B118" s="305"/>
      <c r="C118" s="369" t="s">
        <v>259</v>
      </c>
      <c r="D118" s="370"/>
      <c r="E118" s="371">
        <f>3.6*E14</f>
        <v>21.6</v>
      </c>
      <c r="F118" s="351" t="s">
        <v>16</v>
      </c>
      <c r="G118" s="334">
        <f>3.6*G14</f>
        <v>21.6</v>
      </c>
      <c r="H118" s="233">
        <f t="shared" si="4"/>
        <v>0</v>
      </c>
    </row>
    <row r="119" spans="1:8" ht="15" customHeight="1" x14ac:dyDescent="0.2">
      <c r="A119" s="212"/>
      <c r="B119" s="305"/>
      <c r="C119" s="145" t="s">
        <v>252</v>
      </c>
      <c r="D119" s="333"/>
      <c r="E119" s="334">
        <f>E78*3.6*E77</f>
        <v>34.886444274615535</v>
      </c>
      <c r="F119" s="60" t="s">
        <v>16</v>
      </c>
      <c r="G119" s="334">
        <f>G78*3.6*G77</f>
        <v>34.886444274615535</v>
      </c>
      <c r="H119" s="233">
        <f t="shared" si="4"/>
        <v>0</v>
      </c>
    </row>
    <row r="120" spans="1:8" ht="15" customHeight="1" x14ac:dyDescent="0.2">
      <c r="A120" s="212"/>
      <c r="B120" s="305"/>
      <c r="C120" s="145" t="s">
        <v>251</v>
      </c>
      <c r="D120" s="333"/>
      <c r="E120" s="334">
        <f>E38*E119</f>
        <v>226.76188778500097</v>
      </c>
      <c r="F120" s="60" t="s">
        <v>16</v>
      </c>
      <c r="G120" s="334">
        <f>G38*G119</f>
        <v>226.76188778500097</v>
      </c>
      <c r="H120" s="233">
        <f t="shared" si="4"/>
        <v>0</v>
      </c>
    </row>
    <row r="121" spans="1:8" ht="15" customHeight="1" x14ac:dyDescent="0.2">
      <c r="A121" s="212"/>
      <c r="B121" s="305"/>
      <c r="C121" s="369" t="s">
        <v>253</v>
      </c>
      <c r="D121" s="370"/>
      <c r="E121" s="371">
        <f>E120/E118</f>
        <v>10.498235545601895</v>
      </c>
      <c r="F121" s="351"/>
      <c r="G121" s="334">
        <f>G120/G118</f>
        <v>10.498235545601895</v>
      </c>
      <c r="H121" s="233">
        <f t="shared" si="4"/>
        <v>0</v>
      </c>
    </row>
    <row r="122" spans="1:8" ht="15" customHeight="1" x14ac:dyDescent="0.2">
      <c r="A122" s="212"/>
      <c r="B122" s="305"/>
      <c r="C122" s="145" t="s">
        <v>254</v>
      </c>
      <c r="D122" s="333"/>
      <c r="E122" s="334">
        <f>E95*3.6*E105</f>
        <v>25.996568867679475</v>
      </c>
      <c r="F122" s="60" t="s">
        <v>16</v>
      </c>
      <c r="G122" s="334">
        <f>G95*3.6*G105</f>
        <v>25.996568867679475</v>
      </c>
      <c r="H122" s="233">
        <f t="shared" si="4"/>
        <v>0</v>
      </c>
    </row>
    <row r="123" spans="1:8" ht="15" customHeight="1" x14ac:dyDescent="0.2">
      <c r="A123" s="212"/>
      <c r="B123" s="305"/>
      <c r="C123" s="145" t="s">
        <v>251</v>
      </c>
      <c r="D123" s="333"/>
      <c r="E123" s="334">
        <f>E38*E122</f>
        <v>168.97769763991658</v>
      </c>
      <c r="F123" s="60" t="s">
        <v>16</v>
      </c>
      <c r="G123" s="334">
        <f>G38*G122</f>
        <v>168.97769763991658</v>
      </c>
      <c r="H123" s="233">
        <f t="shared" si="4"/>
        <v>0</v>
      </c>
    </row>
    <row r="124" spans="1:8" ht="15" customHeight="1" x14ac:dyDescent="0.2">
      <c r="A124" s="212"/>
      <c r="B124" s="305"/>
      <c r="C124" s="369" t="s">
        <v>255</v>
      </c>
      <c r="D124" s="370"/>
      <c r="E124" s="371">
        <f>E123/E118</f>
        <v>7.8230415574035455</v>
      </c>
      <c r="F124" s="351"/>
      <c r="G124" s="334">
        <f>G123/G118</f>
        <v>7.8230415574035455</v>
      </c>
      <c r="H124" s="233">
        <f t="shared" si="4"/>
        <v>0</v>
      </c>
    </row>
    <row r="125" spans="1:8" ht="15" customHeight="1" x14ac:dyDescent="0.2">
      <c r="A125" s="212"/>
      <c r="B125" s="305"/>
      <c r="C125" s="145" t="s">
        <v>256</v>
      </c>
      <c r="D125" s="333"/>
      <c r="E125" s="334">
        <f>E95*3.6*E107</f>
        <v>17.331045911786315</v>
      </c>
      <c r="F125" s="60" t="s">
        <v>16</v>
      </c>
      <c r="G125" s="334">
        <f>G95*3.6*G107</f>
        <v>17.331045911786315</v>
      </c>
      <c r="H125" s="233">
        <f t="shared" si="4"/>
        <v>0</v>
      </c>
    </row>
    <row r="126" spans="1:8" ht="15" customHeight="1" x14ac:dyDescent="0.2">
      <c r="A126" s="212"/>
      <c r="B126" s="305"/>
      <c r="C126" s="145" t="s">
        <v>251</v>
      </c>
      <c r="D126" s="333"/>
      <c r="E126" s="334">
        <f>E38*E125</f>
        <v>112.65179842661105</v>
      </c>
      <c r="F126" s="60" t="s">
        <v>16</v>
      </c>
      <c r="G126" s="334">
        <f>G38*G125</f>
        <v>112.65179842661105</v>
      </c>
      <c r="H126" s="233">
        <f t="shared" si="4"/>
        <v>0</v>
      </c>
    </row>
    <row r="127" spans="1:8" ht="15" customHeight="1" x14ac:dyDescent="0.2">
      <c r="A127" s="212"/>
      <c r="B127" s="305"/>
      <c r="C127" s="369" t="s">
        <v>257</v>
      </c>
      <c r="D127" s="370"/>
      <c r="E127" s="371">
        <f>E126/E118</f>
        <v>5.2153610382690294</v>
      </c>
      <c r="F127" s="351"/>
      <c r="G127" s="334">
        <f>G126/G118</f>
        <v>5.2153610382690294</v>
      </c>
      <c r="H127" s="233">
        <f t="shared" si="4"/>
        <v>0</v>
      </c>
    </row>
    <row r="128" spans="1:8" ht="15" customHeight="1" x14ac:dyDescent="0.2">
      <c r="A128" s="212"/>
      <c r="B128" s="305"/>
      <c r="C128" s="316" t="s">
        <v>237</v>
      </c>
      <c r="D128" s="352"/>
      <c r="E128" s="35">
        <f>E121+E124+E127</f>
        <v>23.536638141274473</v>
      </c>
      <c r="F128" s="34"/>
      <c r="G128" s="57">
        <f>G121+G124+G127</f>
        <v>23.536638141274473</v>
      </c>
      <c r="H128" s="233">
        <f t="shared" si="4"/>
        <v>0</v>
      </c>
    </row>
    <row r="129" spans="1:9" ht="15" customHeight="1" x14ac:dyDescent="0.2">
      <c r="A129" s="212"/>
      <c r="B129" s="301" t="s">
        <v>262</v>
      </c>
      <c r="C129" s="56" t="s">
        <v>65</v>
      </c>
      <c r="D129" s="364"/>
      <c r="E129" s="57">
        <v>4.17</v>
      </c>
      <c r="F129" s="365" t="s">
        <v>63</v>
      </c>
      <c r="G129" s="57">
        <v>4.17</v>
      </c>
      <c r="H129" s="233">
        <f t="shared" si="4"/>
        <v>0</v>
      </c>
    </row>
    <row r="130" spans="1:9" ht="15" customHeight="1" x14ac:dyDescent="0.2">
      <c r="A130" s="212"/>
      <c r="B130" s="301"/>
      <c r="C130" s="56" t="s">
        <v>238</v>
      </c>
      <c r="D130" s="364"/>
      <c r="E130" s="361">
        <f>E19</f>
        <v>40</v>
      </c>
      <c r="F130" s="365" t="s">
        <v>20</v>
      </c>
      <c r="G130" s="361">
        <f>G19</f>
        <v>40</v>
      </c>
      <c r="H130" s="233">
        <f t="shared" si="4"/>
        <v>0</v>
      </c>
    </row>
    <row r="131" spans="1:9" ht="15" customHeight="1" x14ac:dyDescent="0.2">
      <c r="A131" s="212"/>
      <c r="B131" s="303" t="s">
        <v>243</v>
      </c>
      <c r="C131" s="205" t="s">
        <v>240</v>
      </c>
      <c r="D131" s="362"/>
      <c r="E131" s="363">
        <f>E130/E129</f>
        <v>9.5923261390887298</v>
      </c>
      <c r="F131" s="89" t="s">
        <v>62</v>
      </c>
      <c r="G131" s="57">
        <f>G130/G129</f>
        <v>9.5923261390887298</v>
      </c>
      <c r="H131" s="233">
        <f t="shared" si="4"/>
        <v>0</v>
      </c>
    </row>
    <row r="132" spans="1:9" ht="15" customHeight="1" x14ac:dyDescent="0.25">
      <c r="A132" s="212"/>
      <c r="B132" s="305"/>
      <c r="C132" s="43" t="s">
        <v>220</v>
      </c>
      <c r="D132" s="2"/>
      <c r="E132" s="16"/>
      <c r="F132" s="218"/>
      <c r="G132" s="16"/>
      <c r="H132" s="296"/>
    </row>
    <row r="133" spans="1:9" ht="15" customHeight="1" x14ac:dyDescent="0.2">
      <c r="A133" s="212"/>
      <c r="B133" s="305"/>
      <c r="C133" s="328" t="s">
        <v>94</v>
      </c>
      <c r="D133" s="42"/>
      <c r="E133" s="28">
        <f>E93+E116</f>
        <v>14029.666164689294</v>
      </c>
      <c r="F133" s="15" t="s">
        <v>23</v>
      </c>
      <c r="G133" s="5">
        <f>G93+G116</f>
        <v>14029.666164689294</v>
      </c>
      <c r="H133" s="233">
        <f t="shared" si="4"/>
        <v>0</v>
      </c>
      <c r="I133" s="182"/>
    </row>
    <row r="134" spans="1:9" ht="15" customHeight="1" x14ac:dyDescent="0.2">
      <c r="A134" s="212"/>
      <c r="B134" s="305"/>
      <c r="C134" s="200" t="s">
        <v>83</v>
      </c>
      <c r="D134" s="70"/>
      <c r="E134" s="61">
        <v>250</v>
      </c>
      <c r="F134" s="71" t="s">
        <v>84</v>
      </c>
      <c r="G134" s="376">
        <v>250</v>
      </c>
      <c r="H134" s="233">
        <f t="shared" si="4"/>
        <v>0</v>
      </c>
      <c r="I134" s="90"/>
    </row>
    <row r="135" spans="1:9" ht="15" customHeight="1" x14ac:dyDescent="0.2">
      <c r="A135" s="212"/>
      <c r="B135" s="305"/>
      <c r="C135" s="197" t="s">
        <v>98</v>
      </c>
      <c r="D135" s="29"/>
      <c r="E135" s="18">
        <f>E35/E134</f>
        <v>4.967469287469287</v>
      </c>
      <c r="F135" s="14" t="s">
        <v>86</v>
      </c>
      <c r="G135" s="57">
        <f>G35/G134</f>
        <v>4.967469287469287</v>
      </c>
      <c r="H135" s="233">
        <f t="shared" si="4"/>
        <v>0</v>
      </c>
      <c r="I135" s="90"/>
    </row>
    <row r="136" spans="1:9" ht="15" customHeight="1" x14ac:dyDescent="0.2">
      <c r="A136" s="212"/>
      <c r="B136" s="305"/>
      <c r="C136" s="200" t="s">
        <v>87</v>
      </c>
      <c r="D136" s="70"/>
      <c r="E136" s="61">
        <v>3</v>
      </c>
      <c r="F136" s="71" t="s">
        <v>22</v>
      </c>
      <c r="G136" s="376">
        <v>3</v>
      </c>
      <c r="H136" s="233">
        <f t="shared" si="4"/>
        <v>0</v>
      </c>
      <c r="I136" s="90"/>
    </row>
    <row r="137" spans="1:9" ht="15" customHeight="1" x14ac:dyDescent="0.2">
      <c r="A137" s="212"/>
      <c r="B137" s="305"/>
      <c r="C137" s="197" t="s">
        <v>88</v>
      </c>
      <c r="D137" s="29"/>
      <c r="E137" s="27">
        <f>365*E135*E136*0.67</f>
        <v>3644.3838427518426</v>
      </c>
      <c r="F137" s="14" t="s">
        <v>89</v>
      </c>
      <c r="G137" s="377">
        <f>365*G135*G136*0.67</f>
        <v>3644.3838427518426</v>
      </c>
      <c r="H137" s="233">
        <f t="shared" si="4"/>
        <v>0</v>
      </c>
      <c r="I137" s="93"/>
    </row>
    <row r="138" spans="1:9" ht="15" customHeight="1" x14ac:dyDescent="0.2">
      <c r="A138" s="212"/>
      <c r="B138" s="305"/>
      <c r="C138" s="200" t="s">
        <v>90</v>
      </c>
      <c r="D138" s="70"/>
      <c r="E138" s="87">
        <v>2000</v>
      </c>
      <c r="F138" s="71" t="s">
        <v>84</v>
      </c>
      <c r="G138" s="378">
        <v>2000</v>
      </c>
      <c r="H138" s="233">
        <f t="shared" si="4"/>
        <v>0</v>
      </c>
      <c r="I138" s="90"/>
    </row>
    <row r="139" spans="1:9" ht="15" customHeight="1" x14ac:dyDescent="0.2">
      <c r="A139" s="212"/>
      <c r="B139" s="305"/>
      <c r="C139" s="197" t="s">
        <v>85</v>
      </c>
      <c r="D139" s="29"/>
      <c r="E139" s="18">
        <f>E41/(E138*7)</f>
        <v>0.62093366093366098</v>
      </c>
      <c r="F139" s="14" t="s">
        <v>86</v>
      </c>
      <c r="G139" s="57">
        <f>G41/(G138*7)</f>
        <v>0.62093366093366098</v>
      </c>
      <c r="H139" s="233">
        <f t="shared" si="4"/>
        <v>0</v>
      </c>
      <c r="I139" s="90"/>
    </row>
    <row r="140" spans="1:9" ht="15" customHeight="1" x14ac:dyDescent="0.2">
      <c r="A140" s="212"/>
      <c r="B140" s="305"/>
      <c r="C140" s="200" t="s">
        <v>91</v>
      </c>
      <c r="D140" s="70"/>
      <c r="E140" s="61">
        <v>5</v>
      </c>
      <c r="F140" s="71" t="s">
        <v>22</v>
      </c>
      <c r="G140" s="376">
        <v>5</v>
      </c>
      <c r="H140" s="233">
        <f t="shared" si="4"/>
        <v>0</v>
      </c>
      <c r="I140" s="94"/>
    </row>
    <row r="141" spans="1:9" ht="15" customHeight="1" x14ac:dyDescent="0.2">
      <c r="A141" s="212"/>
      <c r="B141" s="305"/>
      <c r="C141" s="197" t="s">
        <v>92</v>
      </c>
      <c r="D141" s="29"/>
      <c r="E141" s="27">
        <f>365*E139*E140*0.67</f>
        <v>759.24663390663409</v>
      </c>
      <c r="F141" s="14" t="s">
        <v>89</v>
      </c>
      <c r="G141" s="377">
        <f>365*G139*G140*0.67</f>
        <v>759.24663390663409</v>
      </c>
      <c r="H141" s="233">
        <f t="shared" si="4"/>
        <v>0</v>
      </c>
      <c r="I141" s="94"/>
    </row>
    <row r="142" spans="1:9" ht="15" customHeight="1" x14ac:dyDescent="0.2">
      <c r="A142" s="212"/>
      <c r="B142" s="305"/>
      <c r="C142" s="197" t="s">
        <v>93</v>
      </c>
      <c r="D142" s="29"/>
      <c r="E142" s="27">
        <f>E133+E137+E141</f>
        <v>18433.29664134777</v>
      </c>
      <c r="F142" s="14" t="s">
        <v>23</v>
      </c>
      <c r="G142" s="377">
        <f>G133+G137+G141</f>
        <v>18433.29664134777</v>
      </c>
      <c r="H142" s="233">
        <f t="shared" si="4"/>
        <v>0</v>
      </c>
      <c r="I142" s="94"/>
    </row>
    <row r="143" spans="1:9" ht="15" customHeight="1" x14ac:dyDescent="0.2">
      <c r="A143" s="212"/>
      <c r="B143" s="305"/>
      <c r="C143" s="315" t="s">
        <v>247</v>
      </c>
      <c r="D143" s="316"/>
      <c r="E143" s="46">
        <f>E142/(E14*86.4*365)</f>
        <v>9.7419333678694015E-2</v>
      </c>
      <c r="F143" s="34" t="s">
        <v>33</v>
      </c>
      <c r="G143" s="379">
        <f>G142/(G14*86.4*365)</f>
        <v>9.7419333678694015E-2</v>
      </c>
      <c r="H143" s="233">
        <f t="shared" si="4"/>
        <v>0</v>
      </c>
      <c r="I143" s="94"/>
    </row>
    <row r="144" spans="1:9" ht="15" customHeight="1" x14ac:dyDescent="0.25">
      <c r="A144" s="212"/>
      <c r="B144" s="305"/>
      <c r="C144" s="48" t="s">
        <v>155</v>
      </c>
      <c r="D144" s="8"/>
      <c r="E144" s="17"/>
      <c r="F144" s="217"/>
      <c r="G144" s="17"/>
      <c r="H144" s="296"/>
      <c r="I144" s="90"/>
    </row>
    <row r="145" spans="1:9" ht="15" customHeight="1" x14ac:dyDescent="0.2">
      <c r="A145" s="212"/>
      <c r="B145" s="306" t="s">
        <v>264</v>
      </c>
      <c r="C145" s="162" t="s">
        <v>68</v>
      </c>
      <c r="D145" s="162"/>
      <c r="E145" s="163">
        <v>25</v>
      </c>
      <c r="F145" s="164" t="s">
        <v>67</v>
      </c>
      <c r="G145" s="376">
        <v>25</v>
      </c>
      <c r="H145" s="233">
        <f t="shared" si="4"/>
        <v>0</v>
      </c>
      <c r="I145" s="90"/>
    </row>
    <row r="146" spans="1:9" ht="15" customHeight="1" x14ac:dyDescent="0.2">
      <c r="A146" s="212"/>
      <c r="B146" s="306" t="s">
        <v>149</v>
      </c>
      <c r="C146" s="154" t="s">
        <v>66</v>
      </c>
      <c r="D146" s="154"/>
      <c r="E146" s="155">
        <v>5.5</v>
      </c>
      <c r="F146" s="112" t="s">
        <v>67</v>
      </c>
      <c r="G146" s="57">
        <v>5.5</v>
      </c>
      <c r="H146" s="233">
        <f t="shared" si="4"/>
        <v>0</v>
      </c>
      <c r="I146" s="90"/>
    </row>
    <row r="147" spans="1:9" ht="15" customHeight="1" x14ac:dyDescent="0.2">
      <c r="A147" s="212"/>
      <c r="B147" s="305"/>
      <c r="C147" s="154" t="s">
        <v>156</v>
      </c>
      <c r="D147" s="154"/>
      <c r="E147" s="155">
        <f>E145-E146</f>
        <v>19.5</v>
      </c>
      <c r="F147" s="112" t="s">
        <v>67</v>
      </c>
      <c r="G147" s="57">
        <f>G145-G146</f>
        <v>19.5</v>
      </c>
      <c r="H147" s="233">
        <f t="shared" si="4"/>
        <v>0</v>
      </c>
      <c r="I147" s="90"/>
    </row>
    <row r="148" spans="1:9" ht="15" customHeight="1" x14ac:dyDescent="0.2">
      <c r="A148" s="212"/>
      <c r="B148" s="306" t="s">
        <v>265</v>
      </c>
      <c r="C148" s="162" t="s">
        <v>164</v>
      </c>
      <c r="D148" s="162"/>
      <c r="E148" s="163">
        <v>12</v>
      </c>
      <c r="F148" s="164" t="s">
        <v>67</v>
      </c>
      <c r="G148" s="376">
        <v>12</v>
      </c>
      <c r="H148" s="233">
        <f t="shared" si="4"/>
        <v>0</v>
      </c>
      <c r="I148" s="90"/>
    </row>
    <row r="149" spans="1:9" ht="15" customHeight="1" x14ac:dyDescent="0.2">
      <c r="A149" s="212"/>
      <c r="B149" s="305"/>
      <c r="C149" s="39" t="s">
        <v>43</v>
      </c>
      <c r="D149" s="39"/>
      <c r="E149" s="40">
        <f>E145-E148</f>
        <v>13</v>
      </c>
      <c r="F149" s="41" t="s">
        <v>67</v>
      </c>
      <c r="G149" s="376">
        <f>G145-G148</f>
        <v>13</v>
      </c>
      <c r="H149" s="233">
        <f t="shared" si="4"/>
        <v>0</v>
      </c>
      <c r="I149" s="90"/>
    </row>
    <row r="150" spans="1:9" ht="15" customHeight="1" x14ac:dyDescent="0.25">
      <c r="A150" s="212"/>
      <c r="B150" s="305"/>
      <c r="C150" s="205" t="s">
        <v>69</v>
      </c>
      <c r="D150" s="88"/>
      <c r="E150" s="161">
        <f>E148/E147</f>
        <v>0.61538461538461542</v>
      </c>
      <c r="F150" s="89"/>
      <c r="G150" s="167">
        <f>G148/G147</f>
        <v>0.61538461538461542</v>
      </c>
      <c r="H150" s="233">
        <f t="shared" si="4"/>
        <v>0</v>
      </c>
      <c r="I150"/>
    </row>
    <row r="151" spans="1:9" ht="15" customHeight="1" x14ac:dyDescent="0.25">
      <c r="A151" s="212"/>
      <c r="B151" s="307" t="s">
        <v>150</v>
      </c>
      <c r="C151" s="206" t="s">
        <v>48</v>
      </c>
      <c r="D151" s="49"/>
      <c r="E151" s="156">
        <v>0.16</v>
      </c>
      <c r="F151" s="157"/>
      <c r="G151" s="380">
        <v>0.16</v>
      </c>
      <c r="H151" s="233">
        <f t="shared" si="4"/>
        <v>0</v>
      </c>
      <c r="I151"/>
    </row>
    <row r="152" spans="1:9" ht="15" customHeight="1" x14ac:dyDescent="0.25">
      <c r="A152" s="212"/>
      <c r="B152" s="307" t="s">
        <v>150</v>
      </c>
      <c r="C152" s="206" t="s">
        <v>246</v>
      </c>
      <c r="D152" s="49"/>
      <c r="E152" s="156">
        <v>0.3</v>
      </c>
      <c r="F152" s="157"/>
      <c r="G152" s="380">
        <v>0.3</v>
      </c>
      <c r="H152" s="233">
        <f t="shared" si="4"/>
        <v>0</v>
      </c>
      <c r="I152"/>
    </row>
    <row r="153" spans="1:9" ht="15" customHeight="1" x14ac:dyDescent="0.25">
      <c r="A153" s="212"/>
      <c r="B153" s="307" t="s">
        <v>150</v>
      </c>
      <c r="C153" s="207" t="s">
        <v>50</v>
      </c>
      <c r="D153" s="158" t="s">
        <v>51</v>
      </c>
      <c r="E153" s="156">
        <v>0.14000000000000001</v>
      </c>
      <c r="F153" s="157"/>
      <c r="G153" s="380">
        <v>0.14000000000000001</v>
      </c>
      <c r="H153" s="233">
        <f t="shared" si="4"/>
        <v>0</v>
      </c>
      <c r="I153"/>
    </row>
    <row r="154" spans="1:9" ht="15" customHeight="1" x14ac:dyDescent="0.25">
      <c r="A154" s="212"/>
      <c r="B154" s="308" t="s">
        <v>267</v>
      </c>
      <c r="C154" s="208" t="s">
        <v>52</v>
      </c>
      <c r="D154" s="159"/>
      <c r="E154" s="159">
        <f>E153*(1-E151)</f>
        <v>0.11760000000000001</v>
      </c>
      <c r="F154" s="160"/>
      <c r="G154" s="167">
        <f>G153*(1-G151)</f>
        <v>0.11760000000000001</v>
      </c>
      <c r="H154" s="233">
        <f t="shared" si="4"/>
        <v>0</v>
      </c>
      <c r="I154"/>
    </row>
    <row r="155" spans="1:9" ht="15" customHeight="1" x14ac:dyDescent="0.25">
      <c r="A155" s="212"/>
      <c r="B155" s="308" t="s">
        <v>267</v>
      </c>
      <c r="C155" s="208" t="s">
        <v>245</v>
      </c>
      <c r="D155" s="159"/>
      <c r="E155" s="159">
        <f>E152*E151</f>
        <v>4.8000000000000001E-2</v>
      </c>
      <c r="F155" s="160"/>
      <c r="G155" s="167">
        <f>G152*G151</f>
        <v>4.8000000000000001E-2</v>
      </c>
      <c r="H155" s="233">
        <f t="shared" si="4"/>
        <v>0</v>
      </c>
      <c r="I155"/>
    </row>
    <row r="156" spans="1:9" ht="15" customHeight="1" x14ac:dyDescent="0.25">
      <c r="A156" s="212"/>
      <c r="B156" s="309"/>
      <c r="C156" s="134" t="s">
        <v>165</v>
      </c>
      <c r="D156" s="10"/>
      <c r="E156" s="167">
        <f>E151+E154+E155</f>
        <v>0.3256</v>
      </c>
      <c r="F156" s="6"/>
      <c r="G156" s="167">
        <f>G151+G154+G155</f>
        <v>0.3256</v>
      </c>
      <c r="H156" s="233">
        <f t="shared" si="4"/>
        <v>0</v>
      </c>
      <c r="I156"/>
    </row>
    <row r="157" spans="1:9" ht="15" customHeight="1" x14ac:dyDescent="0.25">
      <c r="A157" s="212"/>
      <c r="B157" s="309"/>
      <c r="C157" s="198" t="s">
        <v>71</v>
      </c>
      <c r="D157" s="165"/>
      <c r="E157" s="168">
        <f>365*E35/1000</f>
        <v>453.28157248157243</v>
      </c>
      <c r="F157" s="166" t="s">
        <v>73</v>
      </c>
      <c r="G157" s="361">
        <f>365*G35/1000</f>
        <v>453.28157248157243</v>
      </c>
      <c r="H157" s="233">
        <f t="shared" si="4"/>
        <v>0</v>
      </c>
      <c r="I157"/>
    </row>
    <row r="158" spans="1:9" ht="15" customHeight="1" x14ac:dyDescent="0.25">
      <c r="A158" s="212"/>
      <c r="B158" s="309"/>
      <c r="C158" s="134" t="s">
        <v>166</v>
      </c>
      <c r="D158" s="10"/>
      <c r="E158" s="57">
        <f>E157*E156</f>
        <v>147.58847999999998</v>
      </c>
      <c r="F158" s="112" t="s">
        <v>74</v>
      </c>
      <c r="G158" s="57">
        <f>G157*G156</f>
        <v>147.58847999999998</v>
      </c>
      <c r="H158" s="233">
        <f t="shared" si="4"/>
        <v>0</v>
      </c>
      <c r="I158"/>
    </row>
    <row r="159" spans="1:9" ht="15" customHeight="1" x14ac:dyDescent="0.25">
      <c r="A159" s="212"/>
      <c r="B159" s="305"/>
      <c r="C159" s="179" t="s">
        <v>70</v>
      </c>
      <c r="D159" s="169">
        <f>E150</f>
        <v>0.61538461538461542</v>
      </c>
      <c r="E159" s="170">
        <f>E158*E150</f>
        <v>90.823679999999996</v>
      </c>
      <c r="F159" s="171" t="s">
        <v>74</v>
      </c>
      <c r="G159" s="381">
        <f>G158*G150</f>
        <v>90.823679999999996</v>
      </c>
      <c r="H159" s="233">
        <f t="shared" si="4"/>
        <v>0</v>
      </c>
      <c r="I159"/>
    </row>
    <row r="160" spans="1:9" ht="15" customHeight="1" x14ac:dyDescent="0.2">
      <c r="A160" s="212"/>
      <c r="B160" s="308" t="s">
        <v>266</v>
      </c>
      <c r="C160" s="209" t="s">
        <v>151</v>
      </c>
      <c r="D160" s="172"/>
      <c r="E160" s="173">
        <v>100</v>
      </c>
      <c r="F160" s="174" t="s">
        <v>152</v>
      </c>
      <c r="G160" s="376">
        <v>100</v>
      </c>
      <c r="H160" s="233">
        <f t="shared" si="4"/>
        <v>0</v>
      </c>
    </row>
    <row r="161" spans="1:8" ht="15" customHeight="1" x14ac:dyDescent="0.2">
      <c r="A161" s="212"/>
      <c r="B161" s="305"/>
      <c r="C161" s="209" t="s">
        <v>153</v>
      </c>
      <c r="D161" s="172"/>
      <c r="E161" s="173">
        <v>17</v>
      </c>
      <c r="F161" s="174" t="s">
        <v>152</v>
      </c>
      <c r="G161" s="376">
        <v>17</v>
      </c>
      <c r="H161" s="233">
        <f t="shared" ref="H161:H164" si="5">G161-E161</f>
        <v>0</v>
      </c>
    </row>
    <row r="162" spans="1:8" ht="15" customHeight="1" x14ac:dyDescent="0.2">
      <c r="A162" s="212"/>
      <c r="B162" s="305"/>
      <c r="C162" s="210" t="s">
        <v>154</v>
      </c>
      <c r="D162" s="139"/>
      <c r="E162" s="175">
        <f>E160+E161</f>
        <v>117</v>
      </c>
      <c r="F162" s="60" t="s">
        <v>152</v>
      </c>
      <c r="G162" s="376">
        <f>G160+G161</f>
        <v>117</v>
      </c>
      <c r="H162" s="233">
        <f t="shared" si="5"/>
        <v>0</v>
      </c>
    </row>
    <row r="163" spans="1:8" ht="15" customHeight="1" x14ac:dyDescent="0.2">
      <c r="A163" s="212"/>
      <c r="B163" s="305"/>
      <c r="C163" s="211" t="s">
        <v>75</v>
      </c>
      <c r="D163" s="176"/>
      <c r="E163" s="177">
        <f>E157/E162</f>
        <v>3.8742014742014739</v>
      </c>
      <c r="F163" s="178" t="s">
        <v>76</v>
      </c>
      <c r="G163" s="381">
        <f>G157/G162</f>
        <v>3.8742014742014739</v>
      </c>
      <c r="H163" s="233">
        <f t="shared" si="5"/>
        <v>0</v>
      </c>
    </row>
    <row r="164" spans="1:8" ht="16.5" customHeight="1" x14ac:dyDescent="0.2">
      <c r="A164" s="212"/>
      <c r="B164" s="305"/>
      <c r="C164" s="179" t="s">
        <v>157</v>
      </c>
      <c r="D164" s="179"/>
      <c r="E164" s="170">
        <f>E159/E163</f>
        <v>23.443200000000001</v>
      </c>
      <c r="F164" s="171" t="s">
        <v>158</v>
      </c>
      <c r="G164" s="381">
        <f>G159/G163</f>
        <v>23.443200000000001</v>
      </c>
      <c r="H164" s="233">
        <f t="shared" si="5"/>
        <v>0</v>
      </c>
    </row>
    <row r="165" spans="1:8" ht="16.5" customHeight="1" x14ac:dyDescent="0.2">
      <c r="E165" s="295"/>
      <c r="G165" s="295"/>
    </row>
    <row r="166" spans="1:8" ht="16.5" customHeight="1" x14ac:dyDescent="0.25">
      <c r="C166" s="411" t="s">
        <v>179</v>
      </c>
      <c r="D166" s="412"/>
      <c r="E166"/>
      <c r="F166"/>
    </row>
    <row r="167" spans="1:8" ht="16.5" customHeight="1" x14ac:dyDescent="0.25">
      <c r="C167" s="413" t="s">
        <v>180</v>
      </c>
      <c r="D167" s="414"/>
      <c r="E167" s="415"/>
      <c r="F167" s="415"/>
    </row>
    <row r="168" spans="1:8" ht="16.5" customHeight="1" x14ac:dyDescent="0.25">
      <c r="C168" s="413" t="s">
        <v>181</v>
      </c>
      <c r="D168" s="414"/>
      <c r="E168" s="415"/>
      <c r="F168" s="415"/>
    </row>
    <row r="169" spans="1:8" ht="16.5" customHeight="1" x14ac:dyDescent="0.25">
      <c r="C169" s="413" t="s">
        <v>182</v>
      </c>
      <c r="D169" s="416"/>
      <c r="E169" s="416"/>
      <c r="F169" s="416"/>
    </row>
    <row r="170" spans="1:8" ht="16.5" customHeight="1" x14ac:dyDescent="0.25">
      <c r="C170" s="413" t="s">
        <v>183</v>
      </c>
      <c r="D170" s="414"/>
      <c r="E170" s="415"/>
      <c r="F170" s="415"/>
    </row>
    <row r="171" spans="1:8" ht="16.5" customHeight="1" x14ac:dyDescent="0.25">
      <c r="C171" s="413" t="s">
        <v>184</v>
      </c>
      <c r="D171" s="414"/>
      <c r="E171" s="415"/>
      <c r="F171" s="415"/>
    </row>
    <row r="172" spans="1:8" ht="15" customHeight="1" x14ac:dyDescent="0.25">
      <c r="C172" s="413" t="s">
        <v>201</v>
      </c>
      <c r="D172" s="415"/>
      <c r="E172" s="415"/>
      <c r="F172" s="415"/>
    </row>
    <row r="173" spans="1:8" ht="15" customHeight="1" x14ac:dyDescent="0.25">
      <c r="C173" s="413" t="s">
        <v>185</v>
      </c>
      <c r="D173" s="415"/>
      <c r="E173" s="415"/>
      <c r="F173" s="415"/>
    </row>
    <row r="174" spans="1:8" ht="15" customHeight="1" x14ac:dyDescent="0.25">
      <c r="C174" s="413" t="s">
        <v>186</v>
      </c>
      <c r="D174" s="415"/>
      <c r="E174" s="415"/>
      <c r="F174" s="415"/>
    </row>
    <row r="175" spans="1:8" ht="15" customHeight="1" x14ac:dyDescent="0.25">
      <c r="C175" s="413" t="s">
        <v>187</v>
      </c>
      <c r="D175" s="415"/>
      <c r="E175" s="415"/>
      <c r="F175" s="415"/>
    </row>
    <row r="176" spans="1:8" ht="15" customHeight="1" x14ac:dyDescent="0.25">
      <c r="C176" s="413" t="s">
        <v>188</v>
      </c>
      <c r="D176" s="415"/>
      <c r="E176" s="415"/>
      <c r="F176" s="415"/>
    </row>
    <row r="177" spans="3:6" ht="15" customHeight="1" x14ac:dyDescent="0.25">
      <c r="C177" s="413" t="s">
        <v>189</v>
      </c>
      <c r="D177" s="415"/>
      <c r="E177" s="415"/>
      <c r="F177" s="415"/>
    </row>
    <row r="178" spans="3:6" ht="15" customHeight="1" x14ac:dyDescent="0.25">
      <c r="C178" s="413" t="s">
        <v>202</v>
      </c>
      <c r="D178" s="415"/>
      <c r="E178" s="415"/>
      <c r="F178" s="415"/>
    </row>
    <row r="179" spans="3:6" ht="15" customHeight="1" x14ac:dyDescent="0.25">
      <c r="C179" s="413" t="s">
        <v>190</v>
      </c>
      <c r="D179" s="415"/>
      <c r="E179" s="415"/>
      <c r="F179" s="415"/>
    </row>
    <row r="180" spans="3:6" ht="15" customHeight="1" x14ac:dyDescent="0.25">
      <c r="C180" s="413" t="s">
        <v>191</v>
      </c>
      <c r="D180" s="415"/>
      <c r="E180" s="415"/>
      <c r="F180" s="415"/>
    </row>
    <row r="181" spans="3:6" ht="15" customHeight="1" x14ac:dyDescent="0.25">
      <c r="C181" s="413" t="s">
        <v>192</v>
      </c>
      <c r="D181" s="416"/>
      <c r="E181" s="416"/>
      <c r="F181" s="416"/>
    </row>
    <row r="182" spans="3:6" ht="15" customHeight="1" x14ac:dyDescent="0.2">
      <c r="C182" s="403" t="s">
        <v>193</v>
      </c>
      <c r="D182" s="403"/>
      <c r="E182" s="403"/>
      <c r="F182" s="403"/>
    </row>
    <row r="183" spans="3:6" ht="15" customHeight="1" x14ac:dyDescent="0.25">
      <c r="C183" s="403" t="s">
        <v>194</v>
      </c>
      <c r="D183" s="417"/>
      <c r="E183" s="417"/>
      <c r="F183" s="417"/>
    </row>
    <row r="184" spans="3:6" ht="15" customHeight="1" x14ac:dyDescent="0.25">
      <c r="C184" s="403" t="s">
        <v>195</v>
      </c>
      <c r="D184" s="404"/>
      <c r="E184" s="405"/>
      <c r="F184" s="405"/>
    </row>
    <row r="185" spans="3:6" ht="15" customHeight="1" x14ac:dyDescent="0.25">
      <c r="C185" s="403" t="s">
        <v>196</v>
      </c>
      <c r="D185" s="404"/>
      <c r="E185" s="405"/>
      <c r="F185" s="405"/>
    </row>
    <row r="186" spans="3:6" ht="15" customHeight="1" x14ac:dyDescent="0.25">
      <c r="C186" s="403" t="s">
        <v>197</v>
      </c>
      <c r="D186" s="415"/>
      <c r="E186" s="415"/>
      <c r="F186" s="415"/>
    </row>
    <row r="187" spans="3:6" ht="15" customHeight="1" x14ac:dyDescent="0.25">
      <c r="C187" s="403" t="s">
        <v>198</v>
      </c>
      <c r="D187" s="405"/>
      <c r="E187" s="405"/>
      <c r="F187" s="405"/>
    </row>
    <row r="188" spans="3:6" ht="15" customHeight="1" x14ac:dyDescent="0.25">
      <c r="C188" s="403" t="s">
        <v>199</v>
      </c>
      <c r="D188" s="404"/>
      <c r="E188" s="405"/>
      <c r="F188" s="405"/>
    </row>
  </sheetData>
  <mergeCells count="25">
    <mergeCell ref="C179:F179"/>
    <mergeCell ref="C180:F180"/>
    <mergeCell ref="C186:F186"/>
    <mergeCell ref="C187:F187"/>
    <mergeCell ref="C181:F181"/>
    <mergeCell ref="C182:F182"/>
    <mergeCell ref="C183:F183"/>
    <mergeCell ref="C184:F184"/>
    <mergeCell ref="C185:F185"/>
    <mergeCell ref="C188:F188"/>
    <mergeCell ref="G3:I3"/>
    <mergeCell ref="C91:D92"/>
    <mergeCell ref="C166:D166"/>
    <mergeCell ref="C167:F167"/>
    <mergeCell ref="C168:F168"/>
    <mergeCell ref="C169:F169"/>
    <mergeCell ref="C170:F170"/>
    <mergeCell ref="C171:F171"/>
    <mergeCell ref="C172:F172"/>
    <mergeCell ref="C173:F173"/>
    <mergeCell ref="C174:F174"/>
    <mergeCell ref="C175:F175"/>
    <mergeCell ref="C176:F176"/>
    <mergeCell ref="C177:F177"/>
    <mergeCell ref="C178:F17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7690-9DE7-43CB-8D70-4C2AF54AB462}">
  <dimension ref="A1:M133"/>
  <sheetViews>
    <sheetView showGridLines="0" zoomScale="75" zoomScaleNormal="75" workbookViewId="0">
      <selection activeCell="G70" sqref="G70"/>
    </sheetView>
  </sheetViews>
  <sheetFormatPr baseColWidth="10" defaultRowHeight="15" x14ac:dyDescent="0.25"/>
  <cols>
    <col min="1" max="1" width="33.28515625" customWidth="1"/>
    <col min="2" max="2" width="35" customWidth="1"/>
    <col min="3" max="3" width="13.42578125" customWidth="1"/>
    <col min="4" max="4" width="15" customWidth="1"/>
    <col min="5" max="5" width="12.42578125" customWidth="1"/>
    <col min="6" max="6" width="8.140625" customWidth="1"/>
    <col min="7" max="7" width="11" customWidth="1"/>
    <col min="8" max="8" width="13.710937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41.25" customHeight="1" x14ac:dyDescent="0.25">
      <c r="A1" s="239" t="s">
        <v>112</v>
      </c>
      <c r="G1" s="231" t="s">
        <v>173</v>
      </c>
      <c r="H1" s="232" t="s">
        <v>174</v>
      </c>
    </row>
    <row r="2" spans="1:13" ht="24" customHeight="1" x14ac:dyDescent="0.25">
      <c r="B2" s="240"/>
      <c r="C2" s="241" t="s">
        <v>140</v>
      </c>
      <c r="D2" s="99"/>
      <c r="E2" s="99"/>
      <c r="F2" s="99"/>
      <c r="G2" s="119"/>
      <c r="H2" s="119"/>
    </row>
    <row r="3" spans="1:13" ht="24" customHeight="1" x14ac:dyDescent="0.25">
      <c r="A3" s="58"/>
      <c r="B3" s="238" t="s">
        <v>175</v>
      </c>
      <c r="C3" s="242"/>
      <c r="D3" s="243"/>
      <c r="E3" s="244">
        <f>E4+E15+E25</f>
        <v>2.2243862643956409</v>
      </c>
      <c r="F3" s="245" t="s">
        <v>14</v>
      </c>
      <c r="G3" s="244">
        <f>G4+G15+G25</f>
        <v>2.2243862643956409</v>
      </c>
      <c r="H3" s="233">
        <f t="shared" ref="H3:H65" si="0">G3-E3</f>
        <v>0</v>
      </c>
    </row>
    <row r="4" spans="1:13" ht="26.25" customHeight="1" x14ac:dyDescent="0.25">
      <c r="A4" s="119"/>
      <c r="B4" s="253" t="s">
        <v>123</v>
      </c>
      <c r="C4" s="52" t="s">
        <v>110</v>
      </c>
      <c r="D4" s="254"/>
      <c r="E4" s="255">
        <f>E10+E13+E14</f>
        <v>1.0472644388142067</v>
      </c>
      <c r="F4" s="246" t="s">
        <v>14</v>
      </c>
      <c r="G4" s="255">
        <f>G10+G13+G14</f>
        <v>1.0472644388142067</v>
      </c>
      <c r="H4" s="233">
        <f t="shared" si="0"/>
        <v>0</v>
      </c>
    </row>
    <row r="5" spans="1:13" ht="18.75" x14ac:dyDescent="0.35">
      <c r="A5" s="119"/>
      <c r="B5" s="50" t="s">
        <v>104</v>
      </c>
      <c r="C5" s="56" t="s">
        <v>105</v>
      </c>
      <c r="D5" s="56" t="s">
        <v>109</v>
      </c>
      <c r="E5" s="5">
        <v>150</v>
      </c>
      <c r="F5" s="256"/>
      <c r="G5" s="5">
        <v>150</v>
      </c>
      <c r="H5" s="233">
        <f t="shared" si="0"/>
        <v>0</v>
      </c>
    </row>
    <row r="6" spans="1:13" x14ac:dyDescent="0.25">
      <c r="A6" s="118" t="s">
        <v>146</v>
      </c>
      <c r="B6" s="257" t="s">
        <v>124</v>
      </c>
      <c r="C6" s="2"/>
      <c r="D6" s="99"/>
      <c r="E6" s="258">
        <f>'Planta Pinch'!E77</f>
        <v>19.381357930341963</v>
      </c>
      <c r="F6" s="256" t="s">
        <v>11</v>
      </c>
      <c r="G6" s="258">
        <f>'Planta Pinch'!G77</f>
        <v>19.381357930341963</v>
      </c>
      <c r="H6" s="233">
        <f t="shared" si="0"/>
        <v>0</v>
      </c>
    </row>
    <row r="7" spans="1:13" x14ac:dyDescent="0.25">
      <c r="A7" s="98" t="s">
        <v>145</v>
      </c>
      <c r="B7" s="259" t="s">
        <v>17</v>
      </c>
      <c r="C7" s="260"/>
      <c r="D7" s="261"/>
      <c r="E7" s="262">
        <f>1.7+0.25</f>
        <v>1.95</v>
      </c>
      <c r="F7" s="263" t="s">
        <v>3</v>
      </c>
      <c r="G7" s="262">
        <f>1.7+0.25</f>
        <v>1.95</v>
      </c>
      <c r="H7" s="233">
        <f t="shared" si="0"/>
        <v>0</v>
      </c>
    </row>
    <row r="8" spans="1:13" x14ac:dyDescent="0.25">
      <c r="A8" s="98" t="s">
        <v>145</v>
      </c>
      <c r="B8" s="264" t="s">
        <v>101</v>
      </c>
      <c r="C8" s="260"/>
      <c r="D8" s="261"/>
      <c r="E8" s="262">
        <v>4</v>
      </c>
      <c r="F8" s="265" t="s">
        <v>12</v>
      </c>
      <c r="G8" s="262">
        <v>4</v>
      </c>
      <c r="H8" s="233">
        <f t="shared" si="0"/>
        <v>0</v>
      </c>
    </row>
    <row r="9" spans="1:13" x14ac:dyDescent="0.25">
      <c r="A9" s="119"/>
      <c r="B9" s="266" t="s">
        <v>103</v>
      </c>
      <c r="C9" s="54"/>
      <c r="D9" s="99"/>
      <c r="E9" s="100">
        <f>0.001*E6/(0.25*3.14*(0.0254*E8)^2)</f>
        <v>2.391812489996799</v>
      </c>
      <c r="F9" s="56" t="s">
        <v>2</v>
      </c>
      <c r="G9" s="100">
        <f>0.001*G6/(0.25*3.14*(0.0254*G8)^2)</f>
        <v>2.391812489996799</v>
      </c>
      <c r="H9" s="233">
        <f t="shared" si="0"/>
        <v>0</v>
      </c>
    </row>
    <row r="10" spans="1:13" x14ac:dyDescent="0.25">
      <c r="A10" s="118" t="s">
        <v>143</v>
      </c>
      <c r="B10" s="267" t="s">
        <v>18</v>
      </c>
      <c r="C10" s="110"/>
      <c r="D10" s="99"/>
      <c r="E10" s="111">
        <f>(10.672*E7*(0.001*E6/E5)^1.852)/(0.0254*E8)^4.871</f>
        <v>8.9911596040769259E-2</v>
      </c>
      <c r="F10" s="247" t="s">
        <v>14</v>
      </c>
      <c r="G10" s="111">
        <f>(10.672*G7*(0.001*G6/G5)^1.852)/(0.0254*G8)^4.871</f>
        <v>8.9911596040769259E-2</v>
      </c>
      <c r="H10" s="233">
        <f t="shared" si="0"/>
        <v>0</v>
      </c>
      <c r="J10" s="20"/>
      <c r="K10" s="20"/>
      <c r="L10" s="101"/>
    </row>
    <row r="11" spans="1:13" x14ac:dyDescent="0.25">
      <c r="A11" s="119"/>
      <c r="B11" s="266" t="s">
        <v>13</v>
      </c>
      <c r="C11" s="54"/>
      <c r="D11" s="99"/>
      <c r="E11" s="100">
        <f>E9^2/19.6</f>
        <v>0.29187586669921872</v>
      </c>
      <c r="F11" s="56" t="s">
        <v>14</v>
      </c>
      <c r="G11" s="100">
        <f>G9^2/19.6</f>
        <v>0.29187586669921872</v>
      </c>
      <c r="H11" s="233">
        <f t="shared" si="0"/>
        <v>0</v>
      </c>
      <c r="J11" s="20"/>
      <c r="K11" s="20"/>
      <c r="L11" s="102"/>
      <c r="M11" s="103"/>
    </row>
    <row r="12" spans="1:13" x14ac:dyDescent="0.25">
      <c r="A12" s="119"/>
      <c r="B12" s="268" t="s">
        <v>25</v>
      </c>
      <c r="C12" s="269" t="s">
        <v>106</v>
      </c>
      <c r="D12" s="270" t="s">
        <v>107</v>
      </c>
      <c r="E12" s="271" t="s">
        <v>176</v>
      </c>
      <c r="F12" s="272"/>
      <c r="G12" s="271" t="s">
        <v>176</v>
      </c>
      <c r="H12" s="233"/>
      <c r="J12" s="20"/>
      <c r="K12" s="20"/>
      <c r="L12" s="104"/>
      <c r="M12" s="105"/>
    </row>
    <row r="13" spans="1:13" x14ac:dyDescent="0.25">
      <c r="A13" s="118" t="s">
        <v>144</v>
      </c>
      <c r="B13" s="50" t="s">
        <v>108</v>
      </c>
      <c r="C13" s="121">
        <v>0.9</v>
      </c>
      <c r="D13" s="122">
        <v>2</v>
      </c>
      <c r="E13" s="258">
        <f>C13*D13*E11</f>
        <v>0.52537656005859368</v>
      </c>
      <c r="F13" s="246"/>
      <c r="G13" s="258">
        <f>C13*D13*G11</f>
        <v>0.52537656005859368</v>
      </c>
      <c r="H13" s="233">
        <f t="shared" si="0"/>
        <v>0</v>
      </c>
      <c r="J13" s="20"/>
      <c r="K13" s="20"/>
      <c r="L13" s="104"/>
      <c r="M13" s="105"/>
    </row>
    <row r="14" spans="1:13" x14ac:dyDescent="0.25">
      <c r="A14" s="118" t="s">
        <v>142</v>
      </c>
      <c r="B14" s="50" t="s">
        <v>125</v>
      </c>
      <c r="C14" s="121">
        <v>1.48</v>
      </c>
      <c r="D14" s="122">
        <v>1</v>
      </c>
      <c r="E14" s="258">
        <f>C14*D14*E11</f>
        <v>0.43197628271484373</v>
      </c>
      <c r="F14" s="246"/>
      <c r="G14" s="258">
        <f>C14*D14*G11</f>
        <v>0.43197628271484373</v>
      </c>
      <c r="H14" s="233">
        <f t="shared" si="0"/>
        <v>0</v>
      </c>
      <c r="J14" s="20"/>
      <c r="K14" s="20"/>
      <c r="L14" s="104"/>
      <c r="M14" s="105"/>
    </row>
    <row r="15" spans="1:13" ht="27" customHeight="1" x14ac:dyDescent="0.25">
      <c r="A15" s="119"/>
      <c r="B15" s="253" t="s">
        <v>126</v>
      </c>
      <c r="C15" s="52" t="s">
        <v>110</v>
      </c>
      <c r="D15" s="254"/>
      <c r="E15" s="255">
        <f>E21+E24</f>
        <v>0.32414283085467077</v>
      </c>
      <c r="F15" s="246" t="s">
        <v>14</v>
      </c>
      <c r="G15" s="255">
        <f>G21+G24</f>
        <v>0.32414283085467077</v>
      </c>
      <c r="H15" s="233">
        <f t="shared" si="0"/>
        <v>0</v>
      </c>
      <c r="J15" s="20"/>
      <c r="K15" s="20"/>
      <c r="L15" s="104"/>
      <c r="M15" s="105"/>
    </row>
    <row r="16" spans="1:13" ht="18.75" x14ac:dyDescent="0.35">
      <c r="A16" s="119"/>
      <c r="B16" s="50" t="s">
        <v>104</v>
      </c>
      <c r="C16" s="56" t="s">
        <v>105</v>
      </c>
      <c r="D16" s="56" t="s">
        <v>109</v>
      </c>
      <c r="E16" s="5">
        <v>150</v>
      </c>
      <c r="F16" s="256"/>
      <c r="G16" s="5">
        <v>150</v>
      </c>
      <c r="H16" s="233">
        <f t="shared" si="0"/>
        <v>0</v>
      </c>
      <c r="J16" s="20"/>
      <c r="K16" s="20"/>
      <c r="L16" s="104"/>
      <c r="M16" s="105"/>
    </row>
    <row r="17" spans="1:13" x14ac:dyDescent="0.25">
      <c r="A17" s="119"/>
      <c r="B17" s="257" t="s">
        <v>102</v>
      </c>
      <c r="C17" s="2"/>
      <c r="D17" s="99"/>
      <c r="E17" s="258">
        <f>E6</f>
        <v>19.381357930341963</v>
      </c>
      <c r="F17" s="256" t="s">
        <v>11</v>
      </c>
      <c r="G17" s="258">
        <f>G6</f>
        <v>19.381357930341963</v>
      </c>
      <c r="H17" s="233">
        <f t="shared" si="0"/>
        <v>0</v>
      </c>
      <c r="J17" s="20"/>
      <c r="K17" s="20"/>
      <c r="L17" s="104"/>
      <c r="M17" s="105"/>
    </row>
    <row r="18" spans="1:13" x14ac:dyDescent="0.25">
      <c r="A18" s="98" t="s">
        <v>145</v>
      </c>
      <c r="B18" s="259" t="s">
        <v>17</v>
      </c>
      <c r="C18" s="260"/>
      <c r="D18" s="261"/>
      <c r="E18" s="262">
        <f>1.7+2</f>
        <v>3.7</v>
      </c>
      <c r="F18" s="263" t="s">
        <v>3</v>
      </c>
      <c r="G18" s="262">
        <f>1.7+2</f>
        <v>3.7</v>
      </c>
      <c r="H18" s="233">
        <f t="shared" si="0"/>
        <v>0</v>
      </c>
      <c r="J18" s="20"/>
      <c r="L18" s="104"/>
      <c r="M18" s="105"/>
    </row>
    <row r="19" spans="1:13" x14ac:dyDescent="0.25">
      <c r="A19" s="98" t="s">
        <v>145</v>
      </c>
      <c r="B19" s="264" t="s">
        <v>101</v>
      </c>
      <c r="C19" s="260"/>
      <c r="D19" s="261"/>
      <c r="E19" s="262">
        <v>4</v>
      </c>
      <c r="F19" s="265" t="s">
        <v>12</v>
      </c>
      <c r="G19" s="262">
        <v>4</v>
      </c>
      <c r="H19" s="233">
        <f t="shared" si="0"/>
        <v>0</v>
      </c>
      <c r="J19" s="20"/>
      <c r="K19" s="20"/>
      <c r="L19" s="104"/>
      <c r="M19" s="105"/>
    </row>
    <row r="20" spans="1:13" x14ac:dyDescent="0.25">
      <c r="A20" s="119"/>
      <c r="B20" s="266" t="s">
        <v>103</v>
      </c>
      <c r="C20" s="54"/>
      <c r="D20" s="99"/>
      <c r="E20" s="100">
        <f>0.001*E17/(0.25*3.14*(0.0254*E19)^2)</f>
        <v>2.391812489996799</v>
      </c>
      <c r="F20" s="56" t="s">
        <v>2</v>
      </c>
      <c r="G20" s="100">
        <f>0.001*G17/(0.25*3.14*(0.0254*G19)^2)</f>
        <v>2.391812489996799</v>
      </c>
      <c r="H20" s="233">
        <f t="shared" si="0"/>
        <v>0</v>
      </c>
      <c r="J20" s="20"/>
      <c r="K20" s="20"/>
      <c r="L20" s="104"/>
      <c r="M20" s="105"/>
    </row>
    <row r="21" spans="1:13" x14ac:dyDescent="0.25">
      <c r="A21" s="118" t="s">
        <v>143</v>
      </c>
      <c r="B21" s="267" t="s">
        <v>18</v>
      </c>
      <c r="C21" s="110"/>
      <c r="D21" s="99"/>
      <c r="E21" s="111">
        <f>(10.672*E18*(0.001*E17/E16)^1.852)/(0.0254*E19)^4.871</f>
        <v>0.17060148992351093</v>
      </c>
      <c r="F21" s="247" t="s">
        <v>14</v>
      </c>
      <c r="G21" s="111">
        <f>(10.672*G18*(0.001*G17/G16)^1.852)/(0.0254*G19)^4.871</f>
        <v>0.17060148992351093</v>
      </c>
      <c r="H21" s="233">
        <f t="shared" si="0"/>
        <v>0</v>
      </c>
      <c r="J21" s="20"/>
      <c r="K21" s="20"/>
      <c r="L21" s="104"/>
      <c r="M21" s="105"/>
    </row>
    <row r="22" spans="1:13" x14ac:dyDescent="0.25">
      <c r="A22" s="119"/>
      <c r="B22" s="266" t="s">
        <v>13</v>
      </c>
      <c r="C22" s="54"/>
      <c r="D22" s="99"/>
      <c r="E22" s="100">
        <f>E20^2/19.6</f>
        <v>0.29187586669921872</v>
      </c>
      <c r="F22" s="56" t="s">
        <v>14</v>
      </c>
      <c r="G22" s="100">
        <f>G20^2/19.6</f>
        <v>0.29187586669921872</v>
      </c>
      <c r="H22" s="233">
        <f t="shared" si="0"/>
        <v>0</v>
      </c>
      <c r="J22" s="20"/>
      <c r="K22" s="20"/>
      <c r="L22" s="104"/>
      <c r="M22" s="105"/>
    </row>
    <row r="23" spans="1:13" x14ac:dyDescent="0.25">
      <c r="A23" s="119"/>
      <c r="B23" s="268" t="s">
        <v>25</v>
      </c>
      <c r="C23" s="269" t="s">
        <v>106</v>
      </c>
      <c r="D23" s="270" t="s">
        <v>107</v>
      </c>
      <c r="E23" s="271" t="s">
        <v>139</v>
      </c>
      <c r="F23" s="272"/>
      <c r="G23" s="271" t="s">
        <v>139</v>
      </c>
      <c r="H23" s="233"/>
      <c r="J23" s="20"/>
      <c r="K23" s="20"/>
      <c r="L23" s="104"/>
      <c r="M23" s="105"/>
    </row>
    <row r="24" spans="1:13" x14ac:dyDescent="0.25">
      <c r="A24" s="119"/>
      <c r="B24" s="50" t="s">
        <v>108</v>
      </c>
      <c r="C24" s="121">
        <v>0.9</v>
      </c>
      <c r="D24" s="122">
        <v>1</v>
      </c>
      <c r="E24" s="258">
        <f>C24*D24*E21</f>
        <v>0.15354134093115984</v>
      </c>
      <c r="F24" s="246"/>
      <c r="G24" s="258">
        <f>C24*D24*G21</f>
        <v>0.15354134093115984</v>
      </c>
      <c r="H24" s="233">
        <f t="shared" si="0"/>
        <v>0</v>
      </c>
      <c r="J24" s="20"/>
      <c r="K24" s="20"/>
      <c r="L24" s="104"/>
      <c r="M24" s="105"/>
    </row>
    <row r="25" spans="1:13" x14ac:dyDescent="0.25">
      <c r="A25" s="119"/>
      <c r="B25" s="183" t="s">
        <v>147</v>
      </c>
      <c r="C25" s="184"/>
      <c r="D25" s="7" t="s">
        <v>110</v>
      </c>
      <c r="E25" s="111">
        <f>SUM(E36:E67)</f>
        <v>0.85297899472676342</v>
      </c>
      <c r="F25" s="247" t="s">
        <v>14</v>
      </c>
      <c r="G25" s="111">
        <f>SUM(G36:G67)</f>
        <v>0.85297899472676342</v>
      </c>
      <c r="H25" s="233">
        <f t="shared" si="0"/>
        <v>0</v>
      </c>
    </row>
    <row r="26" spans="1:13" ht="18.75" x14ac:dyDescent="0.35">
      <c r="A26" s="119"/>
      <c r="B26" s="50" t="s">
        <v>104</v>
      </c>
      <c r="C26" s="56" t="s">
        <v>105</v>
      </c>
      <c r="D26" s="56" t="s">
        <v>109</v>
      </c>
      <c r="E26" s="5">
        <v>150</v>
      </c>
      <c r="F26" s="256"/>
      <c r="G26" s="5">
        <v>150</v>
      </c>
      <c r="H26" s="233">
        <f t="shared" si="0"/>
        <v>0</v>
      </c>
    </row>
    <row r="27" spans="1:13" x14ac:dyDescent="0.25">
      <c r="A27" s="119"/>
      <c r="B27" s="257" t="s">
        <v>128</v>
      </c>
      <c r="C27" s="2"/>
      <c r="D27" s="99"/>
      <c r="E27" s="258">
        <f>E17</f>
        <v>19.381357930341963</v>
      </c>
      <c r="F27" s="256" t="s">
        <v>11</v>
      </c>
      <c r="G27" s="258">
        <f>G17</f>
        <v>19.381357930341963</v>
      </c>
      <c r="H27" s="233">
        <f t="shared" si="0"/>
        <v>0</v>
      </c>
    </row>
    <row r="28" spans="1:13" x14ac:dyDescent="0.25">
      <c r="A28" s="119"/>
      <c r="B28" s="259" t="s">
        <v>101</v>
      </c>
      <c r="C28" s="260"/>
      <c r="D28" s="261"/>
      <c r="E28" s="262">
        <v>4</v>
      </c>
      <c r="F28" s="263" t="s">
        <v>12</v>
      </c>
      <c r="G28" s="262">
        <v>4</v>
      </c>
      <c r="H28" s="233">
        <f t="shared" si="0"/>
        <v>0</v>
      </c>
    </row>
    <row r="29" spans="1:13" x14ac:dyDescent="0.25">
      <c r="A29" s="119"/>
      <c r="B29" s="127" t="s">
        <v>129</v>
      </c>
      <c r="C29" s="2"/>
      <c r="E29" s="107">
        <f>(3.14*(0.0254*E28)^2)/4</f>
        <v>8.1032095999999994E-3</v>
      </c>
      <c r="F29" s="127" t="s">
        <v>130</v>
      </c>
      <c r="G29" s="107">
        <f>(3.14*(0.0254*G28)^2)/4</f>
        <v>8.1032095999999994E-3</v>
      </c>
      <c r="H29" s="233">
        <f t="shared" si="0"/>
        <v>0</v>
      </c>
    </row>
    <row r="30" spans="1:13" x14ac:dyDescent="0.25">
      <c r="A30" s="119"/>
      <c r="B30" s="128" t="s">
        <v>131</v>
      </c>
      <c r="C30" s="108"/>
      <c r="D30" s="108"/>
      <c r="E30" s="109">
        <f>'Planta Pinch'!E40*'Planta Pinch'!E75</f>
        <v>18</v>
      </c>
      <c r="F30" s="252"/>
      <c r="G30" s="109">
        <f>'Planta Pinch'!G40*'Planta Pinch'!G75</f>
        <v>18</v>
      </c>
      <c r="H30" s="233">
        <f t="shared" si="0"/>
        <v>0</v>
      </c>
    </row>
    <row r="31" spans="1:13" x14ac:dyDescent="0.25">
      <c r="A31" s="119"/>
      <c r="B31" s="1" t="s">
        <v>132</v>
      </c>
      <c r="C31" s="3"/>
      <c r="D31" s="3"/>
      <c r="E31" s="9">
        <v>0.9</v>
      </c>
      <c r="F31" s="1" t="s">
        <v>14</v>
      </c>
      <c r="G31" s="9">
        <v>0.9</v>
      </c>
      <c r="H31" s="233">
        <f t="shared" si="0"/>
        <v>0</v>
      </c>
    </row>
    <row r="32" spans="1:13" x14ac:dyDescent="0.25">
      <c r="A32" s="119"/>
      <c r="B32" s="127" t="s">
        <v>133</v>
      </c>
      <c r="C32" s="2"/>
      <c r="D32" s="2"/>
      <c r="E32" s="123">
        <f>E27/E30</f>
        <v>1.0767421072412202</v>
      </c>
      <c r="F32" s="127" t="s">
        <v>11</v>
      </c>
      <c r="G32" s="123">
        <f>G27/G30</f>
        <v>1.0767421072412202</v>
      </c>
      <c r="H32" s="233">
        <f t="shared" si="0"/>
        <v>0</v>
      </c>
    </row>
    <row r="33" spans="1:9" x14ac:dyDescent="0.25">
      <c r="A33" s="118" t="s">
        <v>144</v>
      </c>
      <c r="B33" s="199" t="s">
        <v>134</v>
      </c>
      <c r="C33" s="275"/>
      <c r="D33" s="275" t="s">
        <v>135</v>
      </c>
      <c r="E33" s="123">
        <v>0.3</v>
      </c>
      <c r="F33" s="127"/>
      <c r="G33" s="123">
        <v>0.3</v>
      </c>
      <c r="H33" s="233">
        <f t="shared" si="0"/>
        <v>0</v>
      </c>
    </row>
    <row r="34" spans="1:9" x14ac:dyDescent="0.25">
      <c r="A34" s="119"/>
      <c r="B34" s="130" t="s">
        <v>137</v>
      </c>
      <c r="C34" s="291" t="s">
        <v>138</v>
      </c>
      <c r="D34" s="130"/>
      <c r="E34" s="113" t="s">
        <v>139</v>
      </c>
      <c r="G34" s="113" t="s">
        <v>139</v>
      </c>
      <c r="H34" s="273"/>
    </row>
    <row r="35" spans="1:9" x14ac:dyDescent="0.25">
      <c r="A35" s="119"/>
      <c r="B35" s="131"/>
      <c r="C35" s="292" t="s">
        <v>11</v>
      </c>
      <c r="D35" s="131"/>
      <c r="E35" s="114" t="s">
        <v>14</v>
      </c>
      <c r="G35" s="114" t="s">
        <v>14</v>
      </c>
      <c r="H35" s="274"/>
    </row>
    <row r="36" spans="1:9" x14ac:dyDescent="0.25">
      <c r="A36" s="119"/>
      <c r="B36" s="132">
        <v>1</v>
      </c>
      <c r="C36" s="293">
        <f>E27</f>
        <v>19.381357930341963</v>
      </c>
      <c r="D36" s="294"/>
      <c r="E36" s="115">
        <f>$E$33*((0.001*C36/$E$29)^2/19.6)+(10.672*$E$31*(0.001*C36/$E$26)^1.852)/(0.0254*$E$28)^4.871</f>
        <v>0.12906041972088989</v>
      </c>
      <c r="G36" s="115">
        <f>$G$33*((0.001*C36/$G$29)^2/19.6)+(10.672*$G$31*(0.001*C36/$G$26)^1.852)/(0.0254*$G$28)^4.871</f>
        <v>0.12906041972088989</v>
      </c>
      <c r="H36" s="233">
        <f t="shared" si="0"/>
        <v>0</v>
      </c>
    </row>
    <row r="37" spans="1:9" x14ac:dyDescent="0.25">
      <c r="A37" s="119"/>
      <c r="B37" s="132">
        <f>B36+1</f>
        <v>2</v>
      </c>
      <c r="C37" s="293">
        <f t="shared" ref="C37:C67" si="1">MAX(0,C36-$E$32)</f>
        <v>18.304615823100743</v>
      </c>
      <c r="D37" s="294"/>
      <c r="E37" s="115">
        <f t="shared" ref="E37:E67" si="2">$E$33*((0.001*C37/$E$29)^2/19.6)+(10.672*$E$31*(0.001*C37/$E$26)^1.852)/(0.0254*$E$28)^4.871</f>
        <v>0.11543316130719328</v>
      </c>
      <c r="G37" s="115">
        <f t="shared" ref="G37:G67" si="3">$G$33*((0.001*C37/$G$29)^2/19.6)+(10.672*$G$31*(0.001*C37/$G$26)^1.852)/(0.0254*$G$28)^4.871</f>
        <v>0.11543316130719328</v>
      </c>
      <c r="H37" s="233">
        <f t="shared" si="0"/>
        <v>0</v>
      </c>
    </row>
    <row r="38" spans="1:9" x14ac:dyDescent="0.25">
      <c r="A38" s="119"/>
      <c r="B38" s="132">
        <f t="shared" ref="B38:B67" si="4">B37+1</f>
        <v>3</v>
      </c>
      <c r="C38" s="293">
        <f t="shared" si="1"/>
        <v>17.227873715859523</v>
      </c>
      <c r="D38" s="294"/>
      <c r="E38" s="115">
        <f t="shared" si="2"/>
        <v>0.10255023730491319</v>
      </c>
      <c r="G38" s="115">
        <f t="shared" si="3"/>
        <v>0.10255023730491319</v>
      </c>
      <c r="H38" s="233">
        <f t="shared" si="0"/>
        <v>0</v>
      </c>
    </row>
    <row r="39" spans="1:9" x14ac:dyDescent="0.25">
      <c r="A39" s="119"/>
      <c r="B39" s="132">
        <f t="shared" si="4"/>
        <v>4</v>
      </c>
      <c r="C39" s="293">
        <f t="shared" si="1"/>
        <v>16.151131608618304</v>
      </c>
      <c r="D39" s="294"/>
      <c r="E39" s="115">
        <f t="shared" si="2"/>
        <v>9.0413486039312013E-2</v>
      </c>
      <c r="G39" s="115">
        <f t="shared" si="3"/>
        <v>9.0413486039312013E-2</v>
      </c>
      <c r="H39" s="233">
        <f t="shared" si="0"/>
        <v>0</v>
      </c>
      <c r="I39">
        <v>2.1000000000000001E-2</v>
      </c>
    </row>
    <row r="40" spans="1:9" x14ac:dyDescent="0.25">
      <c r="A40" s="119"/>
      <c r="B40" s="132">
        <f t="shared" si="4"/>
        <v>5</v>
      </c>
      <c r="C40" s="293">
        <f t="shared" si="1"/>
        <v>15.074389501377084</v>
      </c>
      <c r="D40" s="294"/>
      <c r="E40" s="115">
        <f t="shared" si="2"/>
        <v>7.9024882927956314E-2</v>
      </c>
      <c r="G40" s="115">
        <f t="shared" si="3"/>
        <v>7.9024882927956314E-2</v>
      </c>
      <c r="H40" s="233">
        <f t="shared" si="0"/>
        <v>0</v>
      </c>
    </row>
    <row r="41" spans="1:9" x14ac:dyDescent="0.25">
      <c r="A41" s="119"/>
      <c r="B41" s="132">
        <f t="shared" si="4"/>
        <v>6</v>
      </c>
      <c r="C41" s="293">
        <f t="shared" si="1"/>
        <v>13.997647394135864</v>
      </c>
      <c r="D41" s="294"/>
      <c r="E41" s="115">
        <f t="shared" si="2"/>
        <v>6.8386560962389722E-2</v>
      </c>
      <c r="G41" s="115">
        <f t="shared" si="3"/>
        <v>6.8386560962389722E-2</v>
      </c>
      <c r="H41" s="233">
        <f t="shared" si="0"/>
        <v>0</v>
      </c>
    </row>
    <row r="42" spans="1:9" x14ac:dyDescent="0.25">
      <c r="A42" s="119"/>
      <c r="B42" s="132">
        <f t="shared" si="4"/>
        <v>7</v>
      </c>
      <c r="C42" s="293">
        <f t="shared" si="1"/>
        <v>12.920905286894644</v>
      </c>
      <c r="D42" s="294"/>
      <c r="E42" s="115">
        <f t="shared" si="2"/>
        <v>5.8500836015997287E-2</v>
      </c>
      <c r="G42" s="115">
        <f t="shared" si="3"/>
        <v>5.8500836015997287E-2</v>
      </c>
      <c r="H42" s="233">
        <f t="shared" si="0"/>
        <v>0</v>
      </c>
    </row>
    <row r="43" spans="1:9" x14ac:dyDescent="0.25">
      <c r="A43" s="119"/>
      <c r="B43" s="132">
        <f t="shared" si="4"/>
        <v>8</v>
      </c>
      <c r="C43" s="293">
        <f t="shared" si="1"/>
        <v>11.844163179653425</v>
      </c>
      <c r="D43" s="294"/>
      <c r="E43" s="115">
        <f t="shared" si="2"/>
        <v>4.9370238600291008E-2</v>
      </c>
      <c r="G43" s="115">
        <f t="shared" si="3"/>
        <v>4.9370238600291008E-2</v>
      </c>
      <c r="H43" s="233">
        <f t="shared" si="0"/>
        <v>0</v>
      </c>
    </row>
    <row r="44" spans="1:9" x14ac:dyDescent="0.25">
      <c r="A44" s="119"/>
      <c r="B44" s="132">
        <f t="shared" si="4"/>
        <v>9</v>
      </c>
      <c r="C44" s="293">
        <f t="shared" si="1"/>
        <v>10.767421072412205</v>
      </c>
      <c r="D44" s="294"/>
      <c r="E44" s="115">
        <f t="shared" si="2"/>
        <v>4.099755442961947E-2</v>
      </c>
      <c r="G44" s="115">
        <f t="shared" si="3"/>
        <v>4.099755442961947E-2</v>
      </c>
      <c r="H44" s="233">
        <f t="shared" si="0"/>
        <v>0</v>
      </c>
    </row>
    <row r="45" spans="1:9" x14ac:dyDescent="0.25">
      <c r="A45" s="119"/>
      <c r="B45" s="132">
        <f t="shared" si="4"/>
        <v>10</v>
      </c>
      <c r="C45" s="293">
        <f t="shared" si="1"/>
        <v>9.690678965170985</v>
      </c>
      <c r="D45" s="294"/>
      <c r="E45" s="115">
        <f t="shared" si="2"/>
        <v>3.3385877332595577E-2</v>
      </c>
      <c r="G45" s="115">
        <f t="shared" si="3"/>
        <v>3.3385877332595577E-2</v>
      </c>
      <c r="H45" s="233">
        <f t="shared" si="0"/>
        <v>0</v>
      </c>
    </row>
    <row r="46" spans="1:9" x14ac:dyDescent="0.25">
      <c r="A46" s="119"/>
      <c r="B46" s="132">
        <f t="shared" si="4"/>
        <v>11</v>
      </c>
      <c r="C46" s="293">
        <f t="shared" si="1"/>
        <v>8.6139368579297653</v>
      </c>
      <c r="D46" s="294"/>
      <c r="E46" s="115">
        <f t="shared" si="2"/>
        <v>2.6538680006974361E-2</v>
      </c>
      <c r="G46" s="115">
        <f t="shared" si="3"/>
        <v>2.6538680006974361E-2</v>
      </c>
      <c r="H46" s="233">
        <f t="shared" si="0"/>
        <v>0</v>
      </c>
    </row>
    <row r="47" spans="1:9" x14ac:dyDescent="0.25">
      <c r="A47" s="119"/>
      <c r="B47" s="132">
        <f t="shared" si="4"/>
        <v>12</v>
      </c>
      <c r="C47" s="293">
        <f t="shared" si="1"/>
        <v>7.5371947506885455</v>
      </c>
      <c r="D47" s="294"/>
      <c r="E47" s="115">
        <f t="shared" si="2"/>
        <v>2.0459911528652945E-2</v>
      </c>
      <c r="G47" s="115">
        <f t="shared" si="3"/>
        <v>2.0459911528652945E-2</v>
      </c>
      <c r="H47" s="233">
        <f t="shared" si="0"/>
        <v>0</v>
      </c>
    </row>
    <row r="48" spans="1:9" x14ac:dyDescent="0.25">
      <c r="A48" s="119"/>
      <c r="B48" s="132">
        <f t="shared" si="4"/>
        <v>13</v>
      </c>
      <c r="C48" s="293">
        <f t="shared" si="1"/>
        <v>6.4604526434473257</v>
      </c>
      <c r="D48" s="294"/>
      <c r="E48" s="115">
        <f t="shared" si="2"/>
        <v>1.5154136831895745E-2</v>
      </c>
      <c r="G48" s="115">
        <f t="shared" si="3"/>
        <v>1.5154136831895745E-2</v>
      </c>
      <c r="H48" s="233">
        <f t="shared" si="0"/>
        <v>0</v>
      </c>
    </row>
    <row r="49" spans="1:8" x14ac:dyDescent="0.25">
      <c r="A49" s="119"/>
      <c r="B49" s="132">
        <f t="shared" si="4"/>
        <v>14</v>
      </c>
      <c r="C49" s="293">
        <f t="shared" si="1"/>
        <v>5.383710536206106</v>
      </c>
      <c r="D49" s="294"/>
      <c r="E49" s="115">
        <f t="shared" si="2"/>
        <v>1.0626745901439453E-2</v>
      </c>
      <c r="G49" s="115">
        <f t="shared" si="3"/>
        <v>1.0626745901439453E-2</v>
      </c>
      <c r="H49" s="233">
        <f t="shared" si="0"/>
        <v>0</v>
      </c>
    </row>
    <row r="50" spans="1:8" x14ac:dyDescent="0.25">
      <c r="A50" s="119"/>
      <c r="B50" s="132">
        <f t="shared" si="4"/>
        <v>15</v>
      </c>
      <c r="C50" s="293">
        <f t="shared" si="1"/>
        <v>4.3069684289648862</v>
      </c>
      <c r="D50" s="294"/>
      <c r="E50" s="115">
        <f t="shared" si="2"/>
        <v>6.8842877176427857E-3</v>
      </c>
      <c r="G50" s="115">
        <f t="shared" si="3"/>
        <v>6.8842877176427857E-3</v>
      </c>
      <c r="H50" s="233">
        <f t="shared" si="0"/>
        <v>0</v>
      </c>
    </row>
    <row r="51" spans="1:8" x14ac:dyDescent="0.25">
      <c r="A51" s="119"/>
      <c r="B51" s="132">
        <f t="shared" si="4"/>
        <v>16</v>
      </c>
      <c r="C51" s="293">
        <f t="shared" si="1"/>
        <v>3.230226321723666</v>
      </c>
      <c r="D51" s="294"/>
      <c r="E51" s="115">
        <f t="shared" si="2"/>
        <v>3.9350514937227295E-3</v>
      </c>
      <c r="G51" s="115">
        <f t="shared" si="3"/>
        <v>3.9350514937227295E-3</v>
      </c>
      <c r="H51" s="233">
        <f t="shared" si="0"/>
        <v>0</v>
      </c>
    </row>
    <row r="52" spans="1:8" x14ac:dyDescent="0.25">
      <c r="A52" s="119"/>
      <c r="B52" s="132">
        <f t="shared" si="4"/>
        <v>17</v>
      </c>
      <c r="C52" s="293">
        <f t="shared" si="1"/>
        <v>2.1534842144824458</v>
      </c>
      <c r="D52" s="294"/>
      <c r="E52" s="115">
        <f t="shared" si="2"/>
        <v>1.790218055364814E-3</v>
      </c>
      <c r="G52" s="115">
        <f t="shared" si="3"/>
        <v>1.790218055364814E-3</v>
      </c>
      <c r="H52" s="233">
        <f t="shared" si="0"/>
        <v>0</v>
      </c>
    </row>
    <row r="53" spans="1:8" x14ac:dyDescent="0.25">
      <c r="A53" s="119"/>
      <c r="B53" s="132">
        <f t="shared" si="4"/>
        <v>18</v>
      </c>
      <c r="C53" s="293">
        <f t="shared" si="1"/>
        <v>1.0767421072412255</v>
      </c>
      <c r="D53" s="294"/>
      <c r="E53" s="115">
        <f t="shared" si="2"/>
        <v>4.6670854991288035E-4</v>
      </c>
      <c r="G53" s="115">
        <f t="shared" si="3"/>
        <v>4.6670854991288035E-4</v>
      </c>
      <c r="H53" s="233">
        <f t="shared" si="0"/>
        <v>0</v>
      </c>
    </row>
    <row r="54" spans="1:8" x14ac:dyDescent="0.25">
      <c r="A54" s="119"/>
      <c r="B54" s="132">
        <f t="shared" si="4"/>
        <v>19</v>
      </c>
      <c r="C54" s="293">
        <f t="shared" si="1"/>
        <v>5.3290705182007514E-15</v>
      </c>
      <c r="D54" s="294"/>
      <c r="E54" s="115">
        <f t="shared" si="2"/>
        <v>6.3691888355415349E-31</v>
      </c>
      <c r="G54" s="115">
        <f t="shared" si="3"/>
        <v>6.3691888355415349E-31</v>
      </c>
      <c r="H54" s="233">
        <f t="shared" si="0"/>
        <v>0</v>
      </c>
    </row>
    <row r="55" spans="1:8" x14ac:dyDescent="0.25">
      <c r="A55" s="119"/>
      <c r="B55" s="132">
        <f t="shared" si="4"/>
        <v>20</v>
      </c>
      <c r="C55" s="293">
        <f t="shared" si="1"/>
        <v>0</v>
      </c>
      <c r="D55" s="294"/>
      <c r="E55" s="115">
        <f t="shared" si="2"/>
        <v>0</v>
      </c>
      <c r="G55" s="115">
        <f t="shared" si="3"/>
        <v>0</v>
      </c>
      <c r="H55" s="233">
        <f t="shared" si="0"/>
        <v>0</v>
      </c>
    </row>
    <row r="56" spans="1:8" x14ac:dyDescent="0.25">
      <c r="A56" s="119"/>
      <c r="B56" s="132">
        <f t="shared" si="4"/>
        <v>21</v>
      </c>
      <c r="C56" s="293">
        <f t="shared" si="1"/>
        <v>0</v>
      </c>
      <c r="D56" s="294"/>
      <c r="E56" s="115">
        <f t="shared" si="2"/>
        <v>0</v>
      </c>
      <c r="G56" s="115">
        <f t="shared" si="3"/>
        <v>0</v>
      </c>
      <c r="H56" s="233">
        <f t="shared" si="0"/>
        <v>0</v>
      </c>
    </row>
    <row r="57" spans="1:8" x14ac:dyDescent="0.25">
      <c r="A57" s="119"/>
      <c r="B57" s="132">
        <f t="shared" si="4"/>
        <v>22</v>
      </c>
      <c r="C57" s="293">
        <f t="shared" si="1"/>
        <v>0</v>
      </c>
      <c r="D57" s="294"/>
      <c r="E57" s="115">
        <f t="shared" si="2"/>
        <v>0</v>
      </c>
      <c r="G57" s="115">
        <f t="shared" si="3"/>
        <v>0</v>
      </c>
      <c r="H57" s="233">
        <f t="shared" si="0"/>
        <v>0</v>
      </c>
    </row>
    <row r="58" spans="1:8" x14ac:dyDescent="0.25">
      <c r="A58" s="119"/>
      <c r="B58" s="132">
        <f t="shared" si="4"/>
        <v>23</v>
      </c>
      <c r="C58" s="293">
        <f t="shared" si="1"/>
        <v>0</v>
      </c>
      <c r="D58" s="294"/>
      <c r="E58" s="115">
        <f t="shared" si="2"/>
        <v>0</v>
      </c>
      <c r="G58" s="115">
        <f t="shared" si="3"/>
        <v>0</v>
      </c>
      <c r="H58" s="233">
        <f t="shared" si="0"/>
        <v>0</v>
      </c>
    </row>
    <row r="59" spans="1:8" x14ac:dyDescent="0.25">
      <c r="A59" s="119"/>
      <c r="B59" s="132">
        <f t="shared" si="4"/>
        <v>24</v>
      </c>
      <c r="C59" s="293">
        <f t="shared" si="1"/>
        <v>0</v>
      </c>
      <c r="D59" s="294"/>
      <c r="E59" s="115">
        <f t="shared" si="2"/>
        <v>0</v>
      </c>
      <c r="G59" s="115">
        <f t="shared" si="3"/>
        <v>0</v>
      </c>
      <c r="H59" s="233">
        <f t="shared" si="0"/>
        <v>0</v>
      </c>
    </row>
    <row r="60" spans="1:8" x14ac:dyDescent="0.25">
      <c r="A60" s="119"/>
      <c r="B60" s="132">
        <f t="shared" si="4"/>
        <v>25</v>
      </c>
      <c r="C60" s="293">
        <f t="shared" si="1"/>
        <v>0</v>
      </c>
      <c r="D60" s="294"/>
      <c r="E60" s="115">
        <f t="shared" si="2"/>
        <v>0</v>
      </c>
      <c r="G60" s="115">
        <f t="shared" si="3"/>
        <v>0</v>
      </c>
      <c r="H60" s="233">
        <f t="shared" si="0"/>
        <v>0</v>
      </c>
    </row>
    <row r="61" spans="1:8" x14ac:dyDescent="0.25">
      <c r="A61" s="119"/>
      <c r="B61" s="132">
        <f t="shared" si="4"/>
        <v>26</v>
      </c>
      <c r="C61" s="293">
        <f t="shared" si="1"/>
        <v>0</v>
      </c>
      <c r="D61" s="294"/>
      <c r="E61" s="115">
        <f t="shared" si="2"/>
        <v>0</v>
      </c>
      <c r="G61" s="115">
        <f t="shared" si="3"/>
        <v>0</v>
      </c>
      <c r="H61" s="233">
        <f t="shared" si="0"/>
        <v>0</v>
      </c>
    </row>
    <row r="62" spans="1:8" x14ac:dyDescent="0.25">
      <c r="A62" s="119"/>
      <c r="B62" s="132">
        <f t="shared" si="4"/>
        <v>27</v>
      </c>
      <c r="C62" s="293">
        <f t="shared" si="1"/>
        <v>0</v>
      </c>
      <c r="D62" s="294"/>
      <c r="E62" s="115">
        <f t="shared" si="2"/>
        <v>0</v>
      </c>
      <c r="G62" s="115">
        <f t="shared" si="3"/>
        <v>0</v>
      </c>
      <c r="H62" s="233">
        <f t="shared" si="0"/>
        <v>0</v>
      </c>
    </row>
    <row r="63" spans="1:8" x14ac:dyDescent="0.25">
      <c r="A63" s="119"/>
      <c r="B63" s="132">
        <f t="shared" si="4"/>
        <v>28</v>
      </c>
      <c r="C63" s="293">
        <f t="shared" si="1"/>
        <v>0</v>
      </c>
      <c r="D63" s="294"/>
      <c r="E63" s="115">
        <f t="shared" si="2"/>
        <v>0</v>
      </c>
      <c r="G63" s="115">
        <f t="shared" si="3"/>
        <v>0</v>
      </c>
      <c r="H63" s="233">
        <f t="shared" si="0"/>
        <v>0</v>
      </c>
    </row>
    <row r="64" spans="1:8" x14ac:dyDescent="0.25">
      <c r="A64" s="119"/>
      <c r="B64" s="132">
        <f t="shared" si="4"/>
        <v>29</v>
      </c>
      <c r="C64" s="293">
        <f t="shared" si="1"/>
        <v>0</v>
      </c>
      <c r="D64" s="294"/>
      <c r="E64" s="115">
        <f t="shared" si="2"/>
        <v>0</v>
      </c>
      <c r="G64" s="115">
        <f t="shared" si="3"/>
        <v>0</v>
      </c>
      <c r="H64" s="233">
        <f t="shared" si="0"/>
        <v>0</v>
      </c>
    </row>
    <row r="65" spans="1:8" x14ac:dyDescent="0.25">
      <c r="A65" s="119"/>
      <c r="B65" s="132">
        <f t="shared" si="4"/>
        <v>30</v>
      </c>
      <c r="C65" s="293">
        <f t="shared" si="1"/>
        <v>0</v>
      </c>
      <c r="D65" s="294"/>
      <c r="E65" s="115">
        <f t="shared" si="2"/>
        <v>0</v>
      </c>
      <c r="G65" s="115">
        <f t="shared" si="3"/>
        <v>0</v>
      </c>
      <c r="H65" s="233">
        <f t="shared" si="0"/>
        <v>0</v>
      </c>
    </row>
    <row r="66" spans="1:8" x14ac:dyDescent="0.25">
      <c r="A66" s="119"/>
      <c r="B66" s="132">
        <f t="shared" si="4"/>
        <v>31</v>
      </c>
      <c r="C66" s="293">
        <f t="shared" si="1"/>
        <v>0</v>
      </c>
      <c r="D66" s="294"/>
      <c r="E66" s="115">
        <f t="shared" si="2"/>
        <v>0</v>
      </c>
      <c r="G66" s="115">
        <f t="shared" si="3"/>
        <v>0</v>
      </c>
      <c r="H66" s="233">
        <f t="shared" ref="H66:H129" si="5">G66-E66</f>
        <v>0</v>
      </c>
    </row>
    <row r="67" spans="1:8" x14ac:dyDescent="0.25">
      <c r="A67" s="119"/>
      <c r="B67" s="132">
        <f t="shared" si="4"/>
        <v>32</v>
      </c>
      <c r="C67" s="293">
        <f t="shared" si="1"/>
        <v>0</v>
      </c>
      <c r="D67" s="294"/>
      <c r="E67" s="115">
        <f t="shared" si="2"/>
        <v>0</v>
      </c>
      <c r="G67" s="115">
        <f t="shared" si="3"/>
        <v>0</v>
      </c>
      <c r="H67" s="233">
        <f t="shared" si="5"/>
        <v>0</v>
      </c>
    </row>
    <row r="68" spans="1:8" ht="21.75" customHeight="1" x14ac:dyDescent="0.25">
      <c r="A68" s="119"/>
      <c r="B68" s="240"/>
      <c r="C68" s="241" t="s">
        <v>141</v>
      </c>
      <c r="D68" s="99"/>
      <c r="E68" s="99"/>
      <c r="F68" s="99"/>
      <c r="G68" s="119"/>
      <c r="H68" s="233">
        <f t="shared" si="5"/>
        <v>0</v>
      </c>
    </row>
    <row r="69" spans="1:8" ht="28.5" customHeight="1" x14ac:dyDescent="0.25">
      <c r="A69" s="119"/>
      <c r="B69" s="238" t="s">
        <v>175</v>
      </c>
      <c r="C69" s="242"/>
      <c r="D69" s="243"/>
      <c r="E69" s="244">
        <f>E70+E81+E100</f>
        <v>3.6622829081885122</v>
      </c>
      <c r="F69" s="245" t="s">
        <v>14</v>
      </c>
      <c r="G69" s="251">
        <f>G70+G81+G100</f>
        <v>3.6622829081885122</v>
      </c>
      <c r="H69" s="233">
        <f t="shared" si="5"/>
        <v>0</v>
      </c>
    </row>
    <row r="70" spans="1:8" x14ac:dyDescent="0.25">
      <c r="A70" s="119"/>
      <c r="B70" s="53" t="s">
        <v>123</v>
      </c>
      <c r="C70" s="7" t="s">
        <v>110</v>
      </c>
      <c r="D70" s="99"/>
      <c r="E70" s="52">
        <f>E76+E79+E80</f>
        <v>1.8761681006150788</v>
      </c>
      <c r="F70" s="246" t="s">
        <v>14</v>
      </c>
      <c r="G70" s="280">
        <f>G76+G79+G80</f>
        <v>1.8761681006150788</v>
      </c>
      <c r="H70" s="233">
        <f t="shared" si="5"/>
        <v>0</v>
      </c>
    </row>
    <row r="71" spans="1:8" ht="18.75" x14ac:dyDescent="0.35">
      <c r="A71" s="119"/>
      <c r="B71" s="50" t="s">
        <v>104</v>
      </c>
      <c r="C71" s="56" t="s">
        <v>105</v>
      </c>
      <c r="D71" s="56" t="s">
        <v>109</v>
      </c>
      <c r="E71" s="276">
        <v>150</v>
      </c>
      <c r="F71" s="52"/>
      <c r="G71" s="281">
        <v>150</v>
      </c>
      <c r="H71" s="233">
        <f t="shared" si="5"/>
        <v>0</v>
      </c>
    </row>
    <row r="72" spans="1:8" x14ac:dyDescent="0.25">
      <c r="A72" s="119"/>
      <c r="B72" s="133" t="s">
        <v>124</v>
      </c>
      <c r="C72" s="2"/>
      <c r="E72" s="120">
        <f>'Planta Pinch'!E109</f>
        <v>24.070897099703217</v>
      </c>
      <c r="F72" s="199" t="s">
        <v>11</v>
      </c>
      <c r="G72" s="382">
        <f>'Planta Pinch'!G109</f>
        <v>24.070897099703217</v>
      </c>
      <c r="H72" s="233">
        <f t="shared" si="5"/>
        <v>0</v>
      </c>
    </row>
    <row r="73" spans="1:8" x14ac:dyDescent="0.25">
      <c r="A73" s="119"/>
      <c r="B73" s="1" t="s">
        <v>17</v>
      </c>
      <c r="C73" s="3"/>
      <c r="D73" s="3"/>
      <c r="E73" s="9">
        <f>1.7+4.1</f>
        <v>5.8</v>
      </c>
      <c r="F73" s="1" t="s">
        <v>3</v>
      </c>
      <c r="G73" s="283">
        <f>1.7+4.1</f>
        <v>5.8</v>
      </c>
      <c r="H73" s="233">
        <f t="shared" si="5"/>
        <v>0</v>
      </c>
    </row>
    <row r="74" spans="1:8" x14ac:dyDescent="0.25">
      <c r="A74" s="119"/>
      <c r="B74" s="124" t="s">
        <v>101</v>
      </c>
      <c r="C74" s="3"/>
      <c r="D74" s="3"/>
      <c r="E74" s="106">
        <v>4</v>
      </c>
      <c r="F74" s="124" t="s">
        <v>12</v>
      </c>
      <c r="G74" s="284">
        <v>4</v>
      </c>
      <c r="H74" s="233">
        <f t="shared" si="5"/>
        <v>0</v>
      </c>
    </row>
    <row r="75" spans="1:8" x14ac:dyDescent="0.25">
      <c r="A75" s="119"/>
      <c r="B75" s="125" t="s">
        <v>103</v>
      </c>
      <c r="C75" s="54"/>
      <c r="D75" s="54"/>
      <c r="E75" s="100">
        <f>0.001*E72/(0.25*3.14*(0.0254*E74)^2)</f>
        <v>2.9705386245597327</v>
      </c>
      <c r="F75" s="56" t="s">
        <v>2</v>
      </c>
      <c r="G75" s="250">
        <f>0.001*G72/(0.25*3.14*(0.0254*G74)^2)</f>
        <v>2.9705386245597327</v>
      </c>
      <c r="H75" s="233">
        <f t="shared" si="5"/>
        <v>0</v>
      </c>
    </row>
    <row r="76" spans="1:8" x14ac:dyDescent="0.25">
      <c r="A76" s="118" t="s">
        <v>143</v>
      </c>
      <c r="B76" s="129" t="s">
        <v>18</v>
      </c>
      <c r="C76" s="110"/>
      <c r="D76" s="110"/>
      <c r="E76" s="111">
        <f>(10.672*E73*(0.001*E72/E71)^1.852)/(0.0254*E74)^4.871</f>
        <v>0.3994820250230367</v>
      </c>
      <c r="F76" s="247" t="s">
        <v>14</v>
      </c>
      <c r="G76" s="285">
        <f>(10.672*G73*(0.001*G72/G71)^1.852)/(0.0254*G74)^4.871</f>
        <v>0.3994820250230367</v>
      </c>
      <c r="H76" s="233">
        <f t="shared" si="5"/>
        <v>0</v>
      </c>
    </row>
    <row r="77" spans="1:8" x14ac:dyDescent="0.25">
      <c r="A77" s="119"/>
      <c r="B77" s="125" t="s">
        <v>13</v>
      </c>
      <c r="C77" s="54"/>
      <c r="E77" s="100">
        <f>E75^2/19.6</f>
        <v>0.45020916938781774</v>
      </c>
      <c r="F77" s="56" t="s">
        <v>14</v>
      </c>
      <c r="G77" s="250">
        <f>G75^2/19.6</f>
        <v>0.45020916938781774</v>
      </c>
      <c r="H77" s="233">
        <f t="shared" si="5"/>
        <v>0</v>
      </c>
    </row>
    <row r="78" spans="1:8" ht="42.75" x14ac:dyDescent="0.25">
      <c r="A78" s="119"/>
      <c r="B78" s="126" t="s">
        <v>25</v>
      </c>
      <c r="C78" s="269" t="s">
        <v>106</v>
      </c>
      <c r="D78" s="270" t="s">
        <v>107</v>
      </c>
      <c r="E78" s="271" t="s">
        <v>178</v>
      </c>
      <c r="F78" s="279"/>
      <c r="G78" s="286" t="s">
        <v>177</v>
      </c>
      <c r="H78" s="233"/>
    </row>
    <row r="79" spans="1:8" x14ac:dyDescent="0.25">
      <c r="A79" s="118" t="s">
        <v>144</v>
      </c>
      <c r="B79" s="56" t="s">
        <v>108</v>
      </c>
      <c r="C79" s="121">
        <v>0.9</v>
      </c>
      <c r="D79" s="122">
        <v>2</v>
      </c>
      <c r="E79" s="278">
        <f>C79*D79*E77</f>
        <v>0.810376504898072</v>
      </c>
      <c r="F79" s="56" t="s">
        <v>14</v>
      </c>
      <c r="G79" s="285">
        <f>C79*D79*$G$77</f>
        <v>0.810376504898072</v>
      </c>
      <c r="H79" s="233">
        <f t="shared" si="5"/>
        <v>0</v>
      </c>
    </row>
    <row r="80" spans="1:8" x14ac:dyDescent="0.25">
      <c r="A80" s="118" t="s">
        <v>142</v>
      </c>
      <c r="B80" s="56" t="s">
        <v>125</v>
      </c>
      <c r="C80" s="121">
        <v>1.48</v>
      </c>
      <c r="D80" s="122">
        <v>1</v>
      </c>
      <c r="E80" s="278">
        <f>C80*D80*E77</f>
        <v>0.66630957069397023</v>
      </c>
      <c r="F80" s="56" t="s">
        <v>14</v>
      </c>
      <c r="G80" s="285">
        <f t="shared" ref="G80" si="6">C80*D80*$G$77</f>
        <v>0.66630957069397023</v>
      </c>
      <c r="H80" s="233">
        <f t="shared" si="5"/>
        <v>0</v>
      </c>
    </row>
    <row r="81" spans="1:8" x14ac:dyDescent="0.25">
      <c r="A81" s="119"/>
      <c r="B81" s="53" t="s">
        <v>126</v>
      </c>
      <c r="C81" s="7" t="s">
        <v>110</v>
      </c>
      <c r="D81" s="99"/>
      <c r="E81" s="52">
        <f>E87+E90</f>
        <v>0.48419976481240479</v>
      </c>
      <c r="F81" s="246" t="s">
        <v>14</v>
      </c>
      <c r="G81" s="285">
        <f>G87+G90</f>
        <v>0.48419976481240479</v>
      </c>
      <c r="H81" s="233">
        <f t="shared" si="5"/>
        <v>0</v>
      </c>
    </row>
    <row r="82" spans="1:8" ht="18.75" x14ac:dyDescent="0.35">
      <c r="A82" s="119"/>
      <c r="B82" s="50" t="s">
        <v>104</v>
      </c>
      <c r="C82" s="56" t="s">
        <v>105</v>
      </c>
      <c r="D82" s="56" t="s">
        <v>109</v>
      </c>
      <c r="E82" s="276">
        <v>150</v>
      </c>
      <c r="F82" s="52"/>
      <c r="G82" s="281">
        <v>150</v>
      </c>
      <c r="H82" s="233">
        <f t="shared" si="5"/>
        <v>0</v>
      </c>
    </row>
    <row r="83" spans="1:8" x14ac:dyDescent="0.25">
      <c r="A83" s="119"/>
      <c r="B83" s="133" t="s">
        <v>102</v>
      </c>
      <c r="C83" s="2"/>
      <c r="E83" s="120">
        <f>E72</f>
        <v>24.070897099703217</v>
      </c>
      <c r="F83" s="199" t="s">
        <v>11</v>
      </c>
      <c r="G83" s="287">
        <f>G72</f>
        <v>24.070897099703217</v>
      </c>
      <c r="H83" s="233">
        <f t="shared" si="5"/>
        <v>0</v>
      </c>
    </row>
    <row r="84" spans="1:8" x14ac:dyDescent="0.25">
      <c r="A84" s="119"/>
      <c r="B84" s="1" t="s">
        <v>17</v>
      </c>
      <c r="C84" s="3"/>
      <c r="D84" s="3"/>
      <c r="E84" s="9">
        <f>1.7+2</f>
        <v>3.7</v>
      </c>
      <c r="F84" s="1" t="s">
        <v>3</v>
      </c>
      <c r="G84" s="283">
        <f>1.7+2</f>
        <v>3.7</v>
      </c>
      <c r="H84" s="233">
        <f t="shared" si="5"/>
        <v>0</v>
      </c>
    </row>
    <row r="85" spans="1:8" x14ac:dyDescent="0.25">
      <c r="A85" s="119"/>
      <c r="B85" s="124" t="s">
        <v>101</v>
      </c>
      <c r="C85" s="3"/>
      <c r="D85" s="3"/>
      <c r="E85" s="106">
        <v>4</v>
      </c>
      <c r="F85" s="124" t="s">
        <v>12</v>
      </c>
      <c r="G85" s="284">
        <v>4</v>
      </c>
      <c r="H85" s="233">
        <f t="shared" si="5"/>
        <v>0</v>
      </c>
    </row>
    <row r="86" spans="1:8" x14ac:dyDescent="0.25">
      <c r="A86" s="119"/>
      <c r="B86" s="125" t="s">
        <v>103</v>
      </c>
      <c r="C86" s="54"/>
      <c r="D86" s="54"/>
      <c r="E86" s="100">
        <f>0.001*E83/(0.25*3.14*(0.0254*E85)^2)</f>
        <v>2.9705386245597327</v>
      </c>
      <c r="F86" s="56" t="s">
        <v>2</v>
      </c>
      <c r="G86" s="250">
        <f>0.001*G83/(0.25*3.14*(0.0254*G85)^2)</f>
        <v>2.9705386245597327</v>
      </c>
      <c r="H86" s="233">
        <f t="shared" si="5"/>
        <v>0</v>
      </c>
    </row>
    <row r="87" spans="1:8" x14ac:dyDescent="0.25">
      <c r="A87" s="118" t="s">
        <v>143</v>
      </c>
      <c r="B87" s="129" t="s">
        <v>18</v>
      </c>
      <c r="C87" s="110"/>
      <c r="D87" s="110"/>
      <c r="E87" s="111">
        <f>(10.672*E84*(0.001*E83/E82)^1.852)/(0.0254*E85)^4.871</f>
        <v>0.25484198148021303</v>
      </c>
      <c r="F87" s="247" t="s">
        <v>14</v>
      </c>
      <c r="G87" s="285">
        <f>(10.672*G84*(0.001*G83/G82)^1.852)/(0.0254*G85)^4.871</f>
        <v>0.25484198148021303</v>
      </c>
      <c r="H87" s="233">
        <f t="shared" si="5"/>
        <v>0</v>
      </c>
    </row>
    <row r="88" spans="1:8" x14ac:dyDescent="0.25">
      <c r="A88" s="119"/>
      <c r="B88" s="125" t="s">
        <v>13</v>
      </c>
      <c r="C88" s="54"/>
      <c r="E88" s="100">
        <f>E86^2/19.6</f>
        <v>0.45020916938781774</v>
      </c>
      <c r="F88" s="56" t="s">
        <v>14</v>
      </c>
      <c r="G88" s="250">
        <f>G86^2/19.6</f>
        <v>0.45020916938781774</v>
      </c>
      <c r="H88" s="233">
        <f t="shared" si="5"/>
        <v>0</v>
      </c>
    </row>
    <row r="89" spans="1:8" ht="42.75" x14ac:dyDescent="0.25">
      <c r="A89" s="119"/>
      <c r="B89" s="126" t="s">
        <v>25</v>
      </c>
      <c r="C89" s="269" t="s">
        <v>106</v>
      </c>
      <c r="D89" s="270" t="s">
        <v>107</v>
      </c>
      <c r="E89" s="271" t="s">
        <v>178</v>
      </c>
      <c r="F89" s="279"/>
      <c r="G89" s="286" t="s">
        <v>177</v>
      </c>
      <c r="H89" s="233"/>
    </row>
    <row r="90" spans="1:8" x14ac:dyDescent="0.25">
      <c r="A90" s="118" t="s">
        <v>144</v>
      </c>
      <c r="B90" s="56" t="s">
        <v>108</v>
      </c>
      <c r="C90" s="121">
        <v>0.9</v>
      </c>
      <c r="D90" s="122">
        <v>1</v>
      </c>
      <c r="E90" s="278">
        <f>C90*D90*E87</f>
        <v>0.22935778333219173</v>
      </c>
      <c r="F90" s="56" t="s">
        <v>14</v>
      </c>
      <c r="G90" s="288">
        <f>C90*D90*$G$87</f>
        <v>0.22935778333219173</v>
      </c>
      <c r="H90" s="233">
        <f t="shared" si="5"/>
        <v>0</v>
      </c>
    </row>
    <row r="91" spans="1:8" x14ac:dyDescent="0.25">
      <c r="A91" s="119"/>
      <c r="B91" s="53" t="s">
        <v>127</v>
      </c>
      <c r="C91" s="7"/>
      <c r="D91" s="99"/>
      <c r="E91" s="52"/>
      <c r="F91" s="246"/>
      <c r="G91" s="289"/>
      <c r="H91" s="233">
        <f t="shared" si="5"/>
        <v>0</v>
      </c>
    </row>
    <row r="92" spans="1:8" ht="18.75" x14ac:dyDescent="0.35">
      <c r="A92" s="119"/>
      <c r="B92" s="50" t="s">
        <v>104</v>
      </c>
      <c r="C92" s="56" t="s">
        <v>105</v>
      </c>
      <c r="D92" s="56" t="s">
        <v>109</v>
      </c>
      <c r="E92" s="276">
        <v>150</v>
      </c>
      <c r="F92" s="277"/>
      <c r="G92" s="281">
        <v>150</v>
      </c>
      <c r="H92" s="233">
        <f t="shared" si="5"/>
        <v>0</v>
      </c>
    </row>
    <row r="93" spans="1:8" x14ac:dyDescent="0.25">
      <c r="A93" s="119"/>
      <c r="B93" s="134" t="s">
        <v>128</v>
      </c>
      <c r="C93" s="2"/>
      <c r="E93" s="120">
        <f>E83</f>
        <v>24.070897099703217</v>
      </c>
      <c r="F93" s="199" t="s">
        <v>11</v>
      </c>
      <c r="G93" s="282">
        <f>G83</f>
        <v>24.070897099703217</v>
      </c>
      <c r="H93" s="233">
        <f t="shared" si="5"/>
        <v>0</v>
      </c>
    </row>
    <row r="94" spans="1:8" x14ac:dyDescent="0.25">
      <c r="A94" s="119"/>
      <c r="B94" s="1" t="s">
        <v>101</v>
      </c>
      <c r="C94" s="3"/>
      <c r="D94" s="3"/>
      <c r="E94" s="9">
        <v>4</v>
      </c>
      <c r="F94" s="1" t="s">
        <v>12</v>
      </c>
      <c r="G94" s="283">
        <v>4</v>
      </c>
      <c r="H94" s="233">
        <f t="shared" si="5"/>
        <v>0</v>
      </c>
    </row>
    <row r="95" spans="1:8" x14ac:dyDescent="0.25">
      <c r="A95" s="119"/>
      <c r="B95" s="127" t="s">
        <v>129</v>
      </c>
      <c r="C95" s="2"/>
      <c r="E95" s="107">
        <f>(3.14*(0.0254*E94)^2)/4</f>
        <v>8.1032095999999994E-3</v>
      </c>
      <c r="F95" s="127" t="s">
        <v>130</v>
      </c>
      <c r="G95" s="290">
        <f>(3.14*(0.0254*G94)^2)/4</f>
        <v>8.1032095999999994E-3</v>
      </c>
      <c r="H95" s="233">
        <f t="shared" si="5"/>
        <v>0</v>
      </c>
    </row>
    <row r="96" spans="1:8" x14ac:dyDescent="0.25">
      <c r="A96" s="119"/>
      <c r="B96" s="124" t="s">
        <v>131</v>
      </c>
      <c r="C96" s="3"/>
      <c r="D96" s="3"/>
      <c r="E96" s="106">
        <f>E30</f>
        <v>18</v>
      </c>
      <c r="F96" s="124"/>
      <c r="G96" s="249">
        <f>G30</f>
        <v>18</v>
      </c>
      <c r="H96" s="233">
        <f t="shared" si="5"/>
        <v>0</v>
      </c>
    </row>
    <row r="97" spans="1:8" x14ac:dyDescent="0.25">
      <c r="A97" s="119"/>
      <c r="B97" s="1" t="s">
        <v>132</v>
      </c>
      <c r="C97" s="3"/>
      <c r="D97" s="3"/>
      <c r="E97" s="9">
        <v>0.9</v>
      </c>
      <c r="F97" s="1" t="s">
        <v>14</v>
      </c>
      <c r="G97" s="248">
        <v>0.9</v>
      </c>
      <c r="H97" s="233">
        <f t="shared" si="5"/>
        <v>0</v>
      </c>
    </row>
    <row r="98" spans="1:8" x14ac:dyDescent="0.25">
      <c r="A98" s="119"/>
      <c r="B98" s="127" t="s">
        <v>133</v>
      </c>
      <c r="C98" s="2"/>
      <c r="D98" s="54"/>
      <c r="E98" s="123">
        <f>E93/E96</f>
        <v>1.3372720610946232</v>
      </c>
      <c r="F98" s="127" t="s">
        <v>11</v>
      </c>
      <c r="G98" s="237">
        <f>G93/G96</f>
        <v>1.3372720610946232</v>
      </c>
      <c r="H98" s="233">
        <f t="shared" si="5"/>
        <v>0</v>
      </c>
    </row>
    <row r="99" spans="1:8" x14ac:dyDescent="0.25">
      <c r="A99" s="118" t="s">
        <v>144</v>
      </c>
      <c r="B99" s="56" t="s">
        <v>134</v>
      </c>
      <c r="C99" s="2"/>
      <c r="D99" s="2" t="s">
        <v>135</v>
      </c>
      <c r="E99" s="123">
        <v>0.3</v>
      </c>
      <c r="F99" s="127"/>
      <c r="G99" s="237">
        <v>0.3</v>
      </c>
      <c r="H99" s="233">
        <f t="shared" si="5"/>
        <v>0</v>
      </c>
    </row>
    <row r="100" spans="1:8" x14ac:dyDescent="0.25">
      <c r="A100" s="119"/>
      <c r="B100" s="129" t="s">
        <v>136</v>
      </c>
      <c r="C100" s="110"/>
      <c r="D100" s="110"/>
      <c r="E100" s="111">
        <f>SUM(E103:E133)</f>
        <v>1.3019150427610284</v>
      </c>
      <c r="F100" s="247" t="s">
        <v>14</v>
      </c>
      <c r="G100" s="251">
        <f>SUM(G103:G133)</f>
        <v>1.3019150427610284</v>
      </c>
      <c r="H100" s="233">
        <f t="shared" si="5"/>
        <v>0</v>
      </c>
    </row>
    <row r="101" spans="1:8" x14ac:dyDescent="0.25">
      <c r="A101" s="119"/>
      <c r="B101" s="130" t="s">
        <v>137</v>
      </c>
      <c r="C101" s="291" t="s">
        <v>138</v>
      </c>
      <c r="D101" s="130"/>
      <c r="E101" s="113" t="s">
        <v>139</v>
      </c>
      <c r="G101" s="113" t="s">
        <v>139</v>
      </c>
      <c r="H101" s="273"/>
    </row>
    <row r="102" spans="1:8" x14ac:dyDescent="0.25">
      <c r="A102" s="119"/>
      <c r="B102" s="131"/>
      <c r="C102" s="292" t="s">
        <v>11</v>
      </c>
      <c r="D102" s="131"/>
      <c r="E102" s="114" t="s">
        <v>14</v>
      </c>
      <c r="G102" s="114" t="s">
        <v>14</v>
      </c>
      <c r="H102" s="274"/>
    </row>
    <row r="103" spans="1:8" x14ac:dyDescent="0.25">
      <c r="A103" s="119"/>
      <c r="B103" s="132">
        <v>1</v>
      </c>
      <c r="C103" s="293">
        <f>E93</f>
        <v>24.070897099703217</v>
      </c>
      <c r="D103" s="294"/>
      <c r="E103" s="115">
        <f>$E$33*((0.001*C103/$E$29)^2/19.6)+(10.672*$E$31*(0.001*C103/$E$26)^1.852)/(0.0254*$E$28)^4.871</f>
        <v>0.19705134090612686</v>
      </c>
      <c r="G103" s="115">
        <f>$G$33*((0.001*C103/$G$29)^2/19.6)+(10.672*$G$31*(0.001*C103/$G$26)^1.852)/(0.0254*$G$28)^4.871</f>
        <v>0.19705134090612686</v>
      </c>
      <c r="H103" s="233">
        <f t="shared" si="5"/>
        <v>0</v>
      </c>
    </row>
    <row r="104" spans="1:8" x14ac:dyDescent="0.25">
      <c r="A104" s="119"/>
      <c r="B104" s="132">
        <f>B103+1</f>
        <v>2</v>
      </c>
      <c r="C104" s="293">
        <f t="shared" ref="C104:C133" si="7">MAX(0,C103-$E$98)</f>
        <v>22.733625038608594</v>
      </c>
      <c r="D104" s="294"/>
      <c r="E104" s="115">
        <f t="shared" ref="E104:E133" si="8">$E$33*((0.001*C104/$E$29)^2/19.6)+(10.672*$E$31*(0.001*C104/$E$26)^1.852)/(0.0254*$E$28)^4.871</f>
        <v>0.17623465674800515</v>
      </c>
      <c r="G104" s="115">
        <f t="shared" ref="G104:G133" si="9">$G$33*((0.001*C104/$G$29)^2/19.6)+(10.672*$G$31*(0.001*C104/$G$26)^1.852)/(0.0254*$G$28)^4.871</f>
        <v>0.17623465674800515</v>
      </c>
      <c r="H104" s="233">
        <f t="shared" si="5"/>
        <v>0</v>
      </c>
    </row>
    <row r="105" spans="1:8" x14ac:dyDescent="0.25">
      <c r="A105" s="119"/>
      <c r="B105" s="132">
        <f t="shared" ref="B105:B133" si="10">B104+1</f>
        <v>3</v>
      </c>
      <c r="C105" s="293">
        <f t="shared" si="7"/>
        <v>21.39635297751397</v>
      </c>
      <c r="D105" s="294"/>
      <c r="E105" s="115">
        <f t="shared" si="8"/>
        <v>0.15655616187296933</v>
      </c>
      <c r="G105" s="115">
        <f t="shared" si="9"/>
        <v>0.15655616187296933</v>
      </c>
      <c r="H105" s="233">
        <f t="shared" si="5"/>
        <v>0</v>
      </c>
    </row>
    <row r="106" spans="1:8" x14ac:dyDescent="0.25">
      <c r="A106" s="119"/>
      <c r="B106" s="132">
        <f t="shared" si="10"/>
        <v>4</v>
      </c>
      <c r="C106" s="293">
        <f t="shared" si="7"/>
        <v>20.059080916419347</v>
      </c>
      <c r="D106" s="294"/>
      <c r="E106" s="115">
        <f t="shared" si="8"/>
        <v>0.1380186023440978</v>
      </c>
      <c r="G106" s="115">
        <f t="shared" si="9"/>
        <v>0.1380186023440978</v>
      </c>
      <c r="H106" s="233">
        <f t="shared" si="5"/>
        <v>0</v>
      </c>
    </row>
    <row r="107" spans="1:8" x14ac:dyDescent="0.25">
      <c r="A107" s="119"/>
      <c r="B107" s="132">
        <f t="shared" si="10"/>
        <v>5</v>
      </c>
      <c r="C107" s="293">
        <f t="shared" si="7"/>
        <v>18.721808855324724</v>
      </c>
      <c r="D107" s="294"/>
      <c r="E107" s="115">
        <f t="shared" si="8"/>
        <v>0.12062492901092312</v>
      </c>
      <c r="G107" s="115">
        <f t="shared" si="9"/>
        <v>0.12062492901092312</v>
      </c>
      <c r="H107" s="233">
        <f t="shared" si="5"/>
        <v>0</v>
      </c>
    </row>
    <row r="108" spans="1:8" x14ac:dyDescent="0.25">
      <c r="A108" s="119"/>
      <c r="B108" s="132">
        <f t="shared" si="10"/>
        <v>6</v>
      </c>
      <c r="C108" s="293">
        <f t="shared" si="7"/>
        <v>17.384536794230101</v>
      </c>
      <c r="D108" s="294"/>
      <c r="E108" s="115">
        <f t="shared" si="8"/>
        <v>0.10437832810465467</v>
      </c>
      <c r="G108" s="115">
        <f t="shared" si="9"/>
        <v>0.10437832810465467</v>
      </c>
      <c r="H108" s="233">
        <f t="shared" si="5"/>
        <v>0</v>
      </c>
    </row>
    <row r="109" spans="1:8" x14ac:dyDescent="0.25">
      <c r="A109" s="119"/>
      <c r="B109" s="132">
        <f t="shared" si="10"/>
        <v>7</v>
      </c>
      <c r="C109" s="293">
        <f t="shared" si="7"/>
        <v>16.047264733135478</v>
      </c>
      <c r="D109" s="294"/>
      <c r="E109" s="115">
        <f t="shared" si="8"/>
        <v>8.9282259042689674E-2</v>
      </c>
      <c r="G109" s="115">
        <f t="shared" si="9"/>
        <v>8.9282259042689674E-2</v>
      </c>
      <c r="H109" s="233">
        <f t="shared" si="5"/>
        <v>0</v>
      </c>
    </row>
    <row r="110" spans="1:8" x14ac:dyDescent="0.25">
      <c r="A110" s="119"/>
      <c r="B110" s="132">
        <f t="shared" si="10"/>
        <v>8</v>
      </c>
      <c r="C110" s="293">
        <f t="shared" si="7"/>
        <v>14.709992672040855</v>
      </c>
      <c r="D110" s="294"/>
      <c r="E110" s="115">
        <f t="shared" si="8"/>
        <v>7.5340501865684154E-2</v>
      </c>
      <c r="G110" s="115">
        <f t="shared" si="9"/>
        <v>7.5340501865684154E-2</v>
      </c>
      <c r="H110" s="233">
        <f t="shared" si="5"/>
        <v>0</v>
      </c>
    </row>
    <row r="111" spans="1:8" x14ac:dyDescent="0.25">
      <c r="A111" s="119"/>
      <c r="B111" s="132">
        <f t="shared" si="10"/>
        <v>9</v>
      </c>
      <c r="C111" s="293">
        <f t="shared" si="7"/>
        <v>13.372720610946232</v>
      </c>
      <c r="D111" s="294"/>
      <c r="E111" s="115">
        <f t="shared" si="8"/>
        <v>6.2557217832515694E-2</v>
      </c>
      <c r="G111" s="115">
        <f t="shared" si="9"/>
        <v>6.2557217832515694E-2</v>
      </c>
      <c r="H111" s="233">
        <f t="shared" si="5"/>
        <v>0</v>
      </c>
    </row>
    <row r="112" spans="1:8" x14ac:dyDescent="0.25">
      <c r="A112" s="119"/>
      <c r="B112" s="132">
        <f t="shared" si="10"/>
        <v>10</v>
      </c>
      <c r="C112" s="293">
        <f t="shared" si="7"/>
        <v>12.035448549851608</v>
      </c>
      <c r="D112" s="294"/>
      <c r="E112" s="115">
        <f t="shared" si="8"/>
        <v>5.0937028458590619E-2</v>
      </c>
      <c r="G112" s="115">
        <f t="shared" si="9"/>
        <v>5.0937028458590619E-2</v>
      </c>
      <c r="H112" s="233">
        <f t="shared" si="5"/>
        <v>0</v>
      </c>
    </row>
    <row r="113" spans="1:8" x14ac:dyDescent="0.25">
      <c r="A113" s="119"/>
      <c r="B113" s="132">
        <f t="shared" si="10"/>
        <v>11</v>
      </c>
      <c r="C113" s="293">
        <f t="shared" si="7"/>
        <v>10.698176488756985</v>
      </c>
      <c r="D113" s="294"/>
      <c r="E113" s="115">
        <f t="shared" si="8"/>
        <v>4.0485121208434519E-2</v>
      </c>
      <c r="G113" s="115">
        <f t="shared" si="9"/>
        <v>4.0485121208434519E-2</v>
      </c>
      <c r="H113" s="233">
        <f t="shared" si="5"/>
        <v>0</v>
      </c>
    </row>
    <row r="114" spans="1:8" x14ac:dyDescent="0.25">
      <c r="A114" s="119"/>
      <c r="B114" s="132">
        <f t="shared" si="10"/>
        <v>12</v>
      </c>
      <c r="C114" s="293">
        <f t="shared" si="7"/>
        <v>9.3609044276623621</v>
      </c>
      <c r="D114" s="294"/>
      <c r="E114" s="115">
        <f t="shared" si="8"/>
        <v>3.1207395153193186E-2</v>
      </c>
      <c r="G114" s="115">
        <f t="shared" si="9"/>
        <v>3.1207395153193186E-2</v>
      </c>
      <c r="H114" s="233">
        <f t="shared" si="5"/>
        <v>0</v>
      </c>
    </row>
    <row r="115" spans="1:8" x14ac:dyDescent="0.25">
      <c r="A115" s="119"/>
      <c r="B115" s="132">
        <f t="shared" si="10"/>
        <v>13</v>
      </c>
      <c r="C115" s="293">
        <f t="shared" si="7"/>
        <v>8.0236323665677389</v>
      </c>
      <c r="D115" s="294"/>
      <c r="E115" s="115">
        <f t="shared" si="8"/>
        <v>2.3110669324129526E-2</v>
      </c>
      <c r="G115" s="115">
        <f t="shared" si="9"/>
        <v>2.3110669324129526E-2</v>
      </c>
      <c r="H115" s="233">
        <f t="shared" si="5"/>
        <v>0</v>
      </c>
    </row>
    <row r="116" spans="1:8" x14ac:dyDescent="0.25">
      <c r="A116" s="119"/>
      <c r="B116" s="132">
        <f t="shared" si="10"/>
        <v>14</v>
      </c>
      <c r="C116" s="293">
        <f t="shared" si="7"/>
        <v>6.6863603054731158</v>
      </c>
      <c r="D116" s="294"/>
      <c r="E116" s="115">
        <f t="shared" si="8"/>
        <v>1.6202995200694511E-2</v>
      </c>
      <c r="G116" s="115">
        <f t="shared" si="9"/>
        <v>1.6202995200694511E-2</v>
      </c>
      <c r="H116" s="233">
        <f t="shared" si="5"/>
        <v>0</v>
      </c>
    </row>
    <row r="117" spans="1:8" x14ac:dyDescent="0.25">
      <c r="A117" s="119"/>
      <c r="B117" s="132">
        <f t="shared" si="10"/>
        <v>15</v>
      </c>
      <c r="C117" s="293">
        <f t="shared" si="7"/>
        <v>5.3490882443784926</v>
      </c>
      <c r="D117" s="294"/>
      <c r="E117" s="115">
        <f t="shared" si="8"/>
        <v>1.0494155552851358E-2</v>
      </c>
      <c r="G117" s="115">
        <f t="shared" si="9"/>
        <v>1.0494155552851358E-2</v>
      </c>
      <c r="H117" s="233">
        <f t="shared" si="5"/>
        <v>0</v>
      </c>
    </row>
    <row r="118" spans="1:8" x14ac:dyDescent="0.25">
      <c r="A118" s="119"/>
      <c r="B118" s="132">
        <f t="shared" si="10"/>
        <v>16</v>
      </c>
      <c r="C118" s="293">
        <f t="shared" si="7"/>
        <v>4.0118161832838695</v>
      </c>
      <c r="D118" s="294"/>
      <c r="E118" s="115">
        <f t="shared" si="8"/>
        <v>5.9965326846589239E-3</v>
      </c>
      <c r="G118" s="115">
        <f t="shared" si="9"/>
        <v>5.9965326846589239E-3</v>
      </c>
      <c r="H118" s="233">
        <f t="shared" si="5"/>
        <v>0</v>
      </c>
    </row>
    <row r="119" spans="1:8" x14ac:dyDescent="0.25">
      <c r="A119" s="119"/>
      <c r="B119" s="132">
        <f t="shared" si="10"/>
        <v>17</v>
      </c>
      <c r="C119" s="293">
        <f t="shared" si="7"/>
        <v>2.6745441221892463</v>
      </c>
      <c r="D119" s="294"/>
      <c r="E119" s="115">
        <f t="shared" si="8"/>
        <v>2.7268283480981364E-3</v>
      </c>
      <c r="G119" s="115">
        <f t="shared" si="9"/>
        <v>2.7268283480981364E-3</v>
      </c>
      <c r="H119" s="233">
        <f t="shared" si="5"/>
        <v>0</v>
      </c>
    </row>
    <row r="120" spans="1:8" x14ac:dyDescent="0.25">
      <c r="A120" s="119"/>
      <c r="B120" s="132">
        <f t="shared" si="10"/>
        <v>18</v>
      </c>
      <c r="C120" s="293">
        <f t="shared" si="7"/>
        <v>1.3372720610946232</v>
      </c>
      <c r="D120" s="294"/>
      <c r="E120" s="115">
        <f t="shared" si="8"/>
        <v>7.1031910271113544E-4</v>
      </c>
      <c r="G120" s="115">
        <f t="shared" si="9"/>
        <v>7.1031910271113544E-4</v>
      </c>
      <c r="H120" s="233">
        <f t="shared" si="5"/>
        <v>0</v>
      </c>
    </row>
    <row r="121" spans="1:8" x14ac:dyDescent="0.25">
      <c r="A121" s="119"/>
      <c r="B121" s="132">
        <f t="shared" si="10"/>
        <v>19</v>
      </c>
      <c r="C121" s="293">
        <f t="shared" si="7"/>
        <v>0</v>
      </c>
      <c r="D121" s="294"/>
      <c r="E121" s="115">
        <f t="shared" si="8"/>
        <v>0</v>
      </c>
      <c r="G121" s="115">
        <f t="shared" si="9"/>
        <v>0</v>
      </c>
      <c r="H121" s="233">
        <f t="shared" si="5"/>
        <v>0</v>
      </c>
    </row>
    <row r="122" spans="1:8" x14ac:dyDescent="0.25">
      <c r="A122" s="119"/>
      <c r="B122" s="132">
        <f t="shared" si="10"/>
        <v>20</v>
      </c>
      <c r="C122" s="293">
        <f t="shared" si="7"/>
        <v>0</v>
      </c>
      <c r="D122" s="294"/>
      <c r="E122" s="115">
        <f t="shared" si="8"/>
        <v>0</v>
      </c>
      <c r="G122" s="115">
        <f t="shared" si="9"/>
        <v>0</v>
      </c>
      <c r="H122" s="233">
        <f t="shared" si="5"/>
        <v>0</v>
      </c>
    </row>
    <row r="123" spans="1:8" x14ac:dyDescent="0.25">
      <c r="A123" s="119"/>
      <c r="B123" s="132">
        <f t="shared" si="10"/>
        <v>21</v>
      </c>
      <c r="C123" s="293">
        <f t="shared" si="7"/>
        <v>0</v>
      </c>
      <c r="D123" s="294"/>
      <c r="E123" s="115">
        <f t="shared" si="8"/>
        <v>0</v>
      </c>
      <c r="G123" s="115">
        <f t="shared" si="9"/>
        <v>0</v>
      </c>
      <c r="H123" s="233">
        <f t="shared" si="5"/>
        <v>0</v>
      </c>
    </row>
    <row r="124" spans="1:8" x14ac:dyDescent="0.25">
      <c r="A124" s="119"/>
      <c r="B124" s="132">
        <f t="shared" si="10"/>
        <v>22</v>
      </c>
      <c r="C124" s="293">
        <f t="shared" si="7"/>
        <v>0</v>
      </c>
      <c r="D124" s="294"/>
      <c r="E124" s="115">
        <f t="shared" si="8"/>
        <v>0</v>
      </c>
      <c r="G124" s="115">
        <f t="shared" si="9"/>
        <v>0</v>
      </c>
      <c r="H124" s="233">
        <f t="shared" si="5"/>
        <v>0</v>
      </c>
    </row>
    <row r="125" spans="1:8" x14ac:dyDescent="0.25">
      <c r="A125" s="119"/>
      <c r="B125" s="132">
        <f t="shared" si="10"/>
        <v>23</v>
      </c>
      <c r="C125" s="293">
        <f t="shared" si="7"/>
        <v>0</v>
      </c>
      <c r="D125" s="294"/>
      <c r="E125" s="115">
        <f t="shared" si="8"/>
        <v>0</v>
      </c>
      <c r="G125" s="115">
        <f t="shared" si="9"/>
        <v>0</v>
      </c>
      <c r="H125" s="233">
        <f t="shared" si="5"/>
        <v>0</v>
      </c>
    </row>
    <row r="126" spans="1:8" x14ac:dyDescent="0.25">
      <c r="A126" s="119"/>
      <c r="B126" s="132">
        <f t="shared" si="10"/>
        <v>24</v>
      </c>
      <c r="C126" s="293">
        <f t="shared" si="7"/>
        <v>0</v>
      </c>
      <c r="D126" s="294"/>
      <c r="E126" s="115">
        <f t="shared" si="8"/>
        <v>0</v>
      </c>
      <c r="G126" s="115">
        <f t="shared" si="9"/>
        <v>0</v>
      </c>
      <c r="H126" s="233">
        <f t="shared" si="5"/>
        <v>0</v>
      </c>
    </row>
    <row r="127" spans="1:8" x14ac:dyDescent="0.25">
      <c r="A127" s="119"/>
      <c r="B127" s="132">
        <f t="shared" si="10"/>
        <v>25</v>
      </c>
      <c r="C127" s="293">
        <f t="shared" si="7"/>
        <v>0</v>
      </c>
      <c r="D127" s="294"/>
      <c r="E127" s="115">
        <f t="shared" si="8"/>
        <v>0</v>
      </c>
      <c r="G127" s="115">
        <f t="shared" si="9"/>
        <v>0</v>
      </c>
      <c r="H127" s="233">
        <f t="shared" si="5"/>
        <v>0</v>
      </c>
    </row>
    <row r="128" spans="1:8" x14ac:dyDescent="0.25">
      <c r="A128" s="119"/>
      <c r="B128" s="132">
        <f t="shared" si="10"/>
        <v>26</v>
      </c>
      <c r="C128" s="293">
        <f t="shared" si="7"/>
        <v>0</v>
      </c>
      <c r="D128" s="294"/>
      <c r="E128" s="115">
        <f t="shared" si="8"/>
        <v>0</v>
      </c>
      <c r="G128" s="115">
        <f t="shared" si="9"/>
        <v>0</v>
      </c>
      <c r="H128" s="233">
        <f t="shared" si="5"/>
        <v>0</v>
      </c>
    </row>
    <row r="129" spans="1:8" x14ac:dyDescent="0.25">
      <c r="A129" s="119"/>
      <c r="B129" s="132">
        <f t="shared" si="10"/>
        <v>27</v>
      </c>
      <c r="C129" s="293">
        <f t="shared" si="7"/>
        <v>0</v>
      </c>
      <c r="D129" s="294"/>
      <c r="E129" s="115">
        <f t="shared" si="8"/>
        <v>0</v>
      </c>
      <c r="G129" s="115">
        <f t="shared" si="9"/>
        <v>0</v>
      </c>
      <c r="H129" s="233">
        <f t="shared" si="5"/>
        <v>0</v>
      </c>
    </row>
    <row r="130" spans="1:8" x14ac:dyDescent="0.25">
      <c r="A130" s="119"/>
      <c r="B130" s="132">
        <f t="shared" si="10"/>
        <v>28</v>
      </c>
      <c r="C130" s="293">
        <f t="shared" si="7"/>
        <v>0</v>
      </c>
      <c r="D130" s="294"/>
      <c r="E130" s="115">
        <f t="shared" si="8"/>
        <v>0</v>
      </c>
      <c r="G130" s="115">
        <f t="shared" si="9"/>
        <v>0</v>
      </c>
      <c r="H130" s="233">
        <f t="shared" ref="H130:H133" si="11">G130-E130</f>
        <v>0</v>
      </c>
    </row>
    <row r="131" spans="1:8" x14ac:dyDescent="0.25">
      <c r="A131" s="119"/>
      <c r="B131" s="132">
        <f t="shared" si="10"/>
        <v>29</v>
      </c>
      <c r="C131" s="293">
        <f t="shared" si="7"/>
        <v>0</v>
      </c>
      <c r="D131" s="294"/>
      <c r="E131" s="115">
        <f t="shared" si="8"/>
        <v>0</v>
      </c>
      <c r="G131" s="115">
        <f t="shared" si="9"/>
        <v>0</v>
      </c>
      <c r="H131" s="233">
        <f t="shared" si="11"/>
        <v>0</v>
      </c>
    </row>
    <row r="132" spans="1:8" x14ac:dyDescent="0.25">
      <c r="A132" s="119"/>
      <c r="B132" s="132">
        <f t="shared" si="10"/>
        <v>30</v>
      </c>
      <c r="C132" s="293">
        <f t="shared" si="7"/>
        <v>0</v>
      </c>
      <c r="D132" s="294"/>
      <c r="E132" s="115">
        <f t="shared" si="8"/>
        <v>0</v>
      </c>
      <c r="G132" s="115">
        <f t="shared" si="9"/>
        <v>0</v>
      </c>
      <c r="H132" s="233">
        <f t="shared" si="11"/>
        <v>0</v>
      </c>
    </row>
    <row r="133" spans="1:8" x14ac:dyDescent="0.25">
      <c r="A133" s="119"/>
      <c r="B133" s="132">
        <f t="shared" si="10"/>
        <v>31</v>
      </c>
      <c r="C133" s="293">
        <f t="shared" si="7"/>
        <v>0</v>
      </c>
      <c r="D133" s="294"/>
      <c r="E133" s="115">
        <f t="shared" si="8"/>
        <v>0</v>
      </c>
      <c r="G133" s="115">
        <f t="shared" si="9"/>
        <v>0</v>
      </c>
      <c r="H133" s="233">
        <f t="shared" si="11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 Pinch</vt:lpstr>
      <vt:lpstr>Tuberías </vt:lpstr>
      <vt:lpstr>'Planta Pinch'!_Hlk58404871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Carlos Paez</cp:lastModifiedBy>
  <cp:revision>1</cp:revision>
  <dcterms:created xsi:type="dcterms:W3CDTF">2016-12-21T15:40:41Z</dcterms:created>
  <dcterms:modified xsi:type="dcterms:W3CDTF">2024-05-31T20:15:30Z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